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1540" windowHeight="8290" activeTab="1"/>
  </bookViews>
  <sheets>
    <sheet name="Introduction" sheetId="4" r:id="rId1"/>
    <sheet name="Liste et comparaison écogestes" sheetId="21" r:id="rId2"/>
    <sheet name="Actions robustes - V. PUBLIABLE" sheetId="18" r:id="rId3"/>
    <sheet name="Actions non comparables - V. PU" sheetId="19" r:id="rId4"/>
    <sheet name="Actions robustes" sheetId="1" r:id="rId5"/>
    <sheet name="Actions non comparables" sheetId="9" r:id="rId6"/>
    <sheet name="Sous-datasets et Notes" sheetId="2" r:id="rId7"/>
    <sheet name="Limites pour etre durable" sheetId="20" r:id="rId8"/>
  </sheets>
  <definedNames>
    <definedName name="_xlnm._FilterDatabase" localSheetId="3" hidden="1">'Actions non comparables - V. PU'!$A$2:$K$2</definedName>
    <definedName name="_xlnm._FilterDatabase" localSheetId="2" hidden="1">'Actions robustes - V. PUBLIABLE'!$A$2:$K$2</definedName>
    <definedName name="_xlnm._FilterDatabase" localSheetId="1" hidden="1">'Liste et comparaison écogestes'!$A$2:$T$2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8" i="21" l="1"/>
  <c r="G138" i="21"/>
  <c r="H139" i="21"/>
  <c r="G139" i="21"/>
  <c r="H137" i="21"/>
  <c r="G137" i="21"/>
  <c r="G140" i="21"/>
  <c r="H140" i="21"/>
  <c r="H122" i="21"/>
  <c r="G122" i="21"/>
  <c r="H145" i="21" l="1"/>
  <c r="H144" i="21"/>
  <c r="H124" i="21"/>
  <c r="G124" i="21"/>
  <c r="I117" i="21"/>
  <c r="H123" i="21"/>
  <c r="G123" i="21"/>
  <c r="H121" i="21"/>
  <c r="G121" i="21"/>
  <c r="H132" i="21"/>
  <c r="G132" i="21"/>
  <c r="H134" i="21"/>
  <c r="G134" i="21"/>
  <c r="H120" i="21"/>
  <c r="G120" i="21"/>
  <c r="K120" i="21"/>
  <c r="I131" i="21" l="1"/>
  <c r="I119" i="21"/>
  <c r="I124" i="21"/>
  <c r="I123" i="21"/>
  <c r="I134" i="21"/>
  <c r="I132" i="21"/>
  <c r="I121" i="21"/>
  <c r="I136" i="21"/>
  <c r="I129" i="21"/>
  <c r="I128" i="21"/>
  <c r="I133" i="21"/>
  <c r="I120" i="21"/>
  <c r="I122" i="21"/>
  <c r="I127" i="21"/>
  <c r="I126" i="21"/>
  <c r="I135" i="21"/>
  <c r="I125" i="21"/>
  <c r="G151" i="21"/>
  <c r="G169" i="21"/>
  <c r="G170" i="21"/>
  <c r="G164" i="21"/>
  <c r="G168" i="21"/>
  <c r="G154" i="21"/>
  <c r="F154" i="21"/>
  <c r="F168" i="21" l="1"/>
  <c r="H6" i="20" l="1"/>
  <c r="F167" i="21"/>
  <c r="G167" i="21"/>
  <c r="F166" i="21"/>
  <c r="G166" i="21"/>
  <c r="F165" i="21"/>
  <c r="F164" i="21"/>
  <c r="G161" i="21"/>
  <c r="F161" i="21"/>
  <c r="G160" i="21"/>
  <c r="F160" i="21"/>
  <c r="G159" i="21"/>
  <c r="F159" i="21"/>
  <c r="G155" i="21"/>
  <c r="F155" i="21"/>
  <c r="G158" i="21"/>
  <c r="F158" i="21"/>
  <c r="F157" i="21"/>
  <c r="G157" i="21"/>
  <c r="G156" i="21"/>
  <c r="F156" i="21"/>
  <c r="G153" i="21"/>
  <c r="F153" i="21"/>
  <c r="G152" i="21"/>
  <c r="F152" i="21"/>
  <c r="F151" i="21"/>
  <c r="G6" i="20" l="1"/>
  <c r="G165" i="21"/>
  <c r="R66" i="21"/>
  <c r="P66" i="21"/>
  <c r="T66" i="21" s="1"/>
  <c r="O66" i="21"/>
  <c r="S66" i="21" s="1"/>
  <c r="N66" i="21"/>
  <c r="M66" i="21"/>
  <c r="R65" i="21"/>
  <c r="P65" i="21"/>
  <c r="T65" i="21" s="1"/>
  <c r="O65" i="21"/>
  <c r="S65" i="21" s="1"/>
  <c r="N65" i="21"/>
  <c r="M65" i="21"/>
  <c r="R64" i="21"/>
  <c r="P64" i="21"/>
  <c r="T64" i="21" s="1"/>
  <c r="O64" i="21"/>
  <c r="S64" i="21" s="1"/>
  <c r="N64" i="21"/>
  <c r="M64" i="21"/>
  <c r="R33" i="21"/>
  <c r="P33" i="21"/>
  <c r="T33" i="21" s="1"/>
  <c r="O33" i="21"/>
  <c r="S33" i="21" s="1"/>
  <c r="N33" i="21"/>
  <c r="M33" i="21"/>
  <c r="R32" i="21"/>
  <c r="P32" i="21"/>
  <c r="T32" i="21" s="1"/>
  <c r="O32" i="21"/>
  <c r="S32" i="21" s="1"/>
  <c r="N32" i="21"/>
  <c r="M32" i="21"/>
  <c r="R31" i="21"/>
  <c r="P31" i="21"/>
  <c r="T31" i="21" s="1"/>
  <c r="O31" i="21"/>
  <c r="S31" i="21" s="1"/>
  <c r="N31" i="21"/>
  <c r="M31" i="21"/>
  <c r="R30" i="21"/>
  <c r="P30" i="21"/>
  <c r="T30" i="21" s="1"/>
  <c r="O30" i="21"/>
  <c r="S30" i="21" s="1"/>
  <c r="N30" i="21"/>
  <c r="M30" i="21"/>
  <c r="R12" i="21"/>
  <c r="P12" i="21"/>
  <c r="T12" i="21" s="1"/>
  <c r="O12" i="21"/>
  <c r="S12" i="21" s="1"/>
  <c r="N12" i="21"/>
  <c r="M12" i="21"/>
  <c r="R11" i="21"/>
  <c r="P11" i="21"/>
  <c r="T11" i="21" s="1"/>
  <c r="O11" i="21"/>
  <c r="S11" i="21" s="1"/>
  <c r="N11" i="21"/>
  <c r="M11" i="21"/>
  <c r="R10" i="21"/>
  <c r="P10" i="21"/>
  <c r="T10" i="21" s="1"/>
  <c r="O10" i="21"/>
  <c r="S10" i="21" s="1"/>
  <c r="N10" i="21"/>
  <c r="M10" i="21"/>
  <c r="R9" i="21"/>
  <c r="P9" i="21"/>
  <c r="T9" i="21" s="1"/>
  <c r="O9" i="21"/>
  <c r="S9" i="21" s="1"/>
  <c r="N9" i="21"/>
  <c r="M9" i="21"/>
  <c r="R40" i="21"/>
  <c r="P40" i="21"/>
  <c r="T40" i="21" s="1"/>
  <c r="O40" i="21"/>
  <c r="S40" i="21" s="1"/>
  <c r="N40" i="21"/>
  <c r="M40" i="21"/>
  <c r="R29" i="21"/>
  <c r="P29" i="21"/>
  <c r="T29" i="21" s="1"/>
  <c r="O29" i="21"/>
  <c r="S29" i="21" s="1"/>
  <c r="N29" i="21"/>
  <c r="M29" i="21"/>
  <c r="R39" i="21"/>
  <c r="P39" i="21"/>
  <c r="T39" i="21" s="1"/>
  <c r="O39" i="21"/>
  <c r="S39" i="21" s="1"/>
  <c r="N39" i="21"/>
  <c r="M39" i="21"/>
  <c r="R28" i="21"/>
  <c r="P28" i="21"/>
  <c r="T28" i="21" s="1"/>
  <c r="O28" i="21"/>
  <c r="S28" i="21" s="1"/>
  <c r="N28" i="21"/>
  <c r="M28" i="21"/>
  <c r="R63" i="21"/>
  <c r="P63" i="21"/>
  <c r="T63" i="21" s="1"/>
  <c r="O63" i="21"/>
  <c r="S63" i="21" s="1"/>
  <c r="N63" i="21"/>
  <c r="M63" i="21"/>
  <c r="R38" i="21"/>
  <c r="P38" i="21"/>
  <c r="T38" i="21" s="1"/>
  <c r="O38" i="21"/>
  <c r="S38" i="21" s="1"/>
  <c r="N38" i="21"/>
  <c r="M38" i="21"/>
  <c r="R55" i="21"/>
  <c r="P55" i="21"/>
  <c r="T55" i="21" s="1"/>
  <c r="O55" i="21"/>
  <c r="S55" i="21" s="1"/>
  <c r="N55" i="21"/>
  <c r="M55" i="21"/>
  <c r="R54" i="21"/>
  <c r="P54" i="21"/>
  <c r="T54" i="21" s="1"/>
  <c r="O54" i="21"/>
  <c r="S54" i="21" s="1"/>
  <c r="N54" i="21"/>
  <c r="M54" i="21"/>
  <c r="R37" i="21"/>
  <c r="P37" i="21"/>
  <c r="T37" i="21" s="1"/>
  <c r="O37" i="21"/>
  <c r="S37" i="21" s="1"/>
  <c r="N37" i="21"/>
  <c r="M37" i="21"/>
  <c r="R53" i="21"/>
  <c r="P53" i="21"/>
  <c r="T53" i="21" s="1"/>
  <c r="O53" i="21"/>
  <c r="S53" i="21" s="1"/>
  <c r="N53" i="21"/>
  <c r="M53" i="21"/>
  <c r="R52" i="21"/>
  <c r="P52" i="21"/>
  <c r="T52" i="21" s="1"/>
  <c r="O52" i="21"/>
  <c r="S52" i="21" s="1"/>
  <c r="N52" i="21"/>
  <c r="M52" i="21"/>
  <c r="R51" i="21"/>
  <c r="P51" i="21"/>
  <c r="T51" i="21" s="1"/>
  <c r="O51" i="21"/>
  <c r="S51" i="21" s="1"/>
  <c r="N51" i="21"/>
  <c r="M51" i="21"/>
  <c r="R18" i="21"/>
  <c r="P18" i="21"/>
  <c r="T18" i="21" s="1"/>
  <c r="O18" i="21"/>
  <c r="S18" i="21" s="1"/>
  <c r="N18" i="21"/>
  <c r="M18" i="21"/>
  <c r="R50" i="21"/>
  <c r="P50" i="21"/>
  <c r="T50" i="21" s="1"/>
  <c r="O50" i="21"/>
  <c r="S50" i="21" s="1"/>
  <c r="N50" i="21"/>
  <c r="M50" i="21"/>
  <c r="R17" i="21"/>
  <c r="P17" i="21"/>
  <c r="T17" i="21" s="1"/>
  <c r="O17" i="21"/>
  <c r="S17" i="21" s="1"/>
  <c r="N17" i="21"/>
  <c r="M17" i="21"/>
  <c r="R16" i="21"/>
  <c r="P16" i="21"/>
  <c r="T16" i="21" s="1"/>
  <c r="O16" i="21"/>
  <c r="S16" i="21" s="1"/>
  <c r="N16" i="21"/>
  <c r="M16" i="21"/>
  <c r="R36" i="21"/>
  <c r="P36" i="21"/>
  <c r="T36" i="21" s="1"/>
  <c r="O36" i="21"/>
  <c r="S36" i="21" s="1"/>
  <c r="N36" i="21"/>
  <c r="M36" i="21"/>
  <c r="R49" i="21"/>
  <c r="P49" i="21"/>
  <c r="T49" i="21" s="1"/>
  <c r="O49" i="21"/>
  <c r="S49" i="21" s="1"/>
  <c r="N49" i="21"/>
  <c r="M49" i="21"/>
  <c r="R27" i="21"/>
  <c r="P27" i="21"/>
  <c r="T27" i="21" s="1"/>
  <c r="O27" i="21"/>
  <c r="S27" i="21" s="1"/>
  <c r="N27" i="21"/>
  <c r="M27" i="21"/>
  <c r="R8" i="21"/>
  <c r="P8" i="21"/>
  <c r="T8" i="21" s="1"/>
  <c r="O8" i="21"/>
  <c r="S8" i="21" s="1"/>
  <c r="N8" i="21"/>
  <c r="M8" i="21"/>
  <c r="R48" i="21"/>
  <c r="P48" i="21"/>
  <c r="T48" i="21" s="1"/>
  <c r="O48" i="21"/>
  <c r="S48" i="21" s="1"/>
  <c r="N48" i="21"/>
  <c r="M48" i="21"/>
  <c r="R7" i="21"/>
  <c r="P7" i="21"/>
  <c r="T7" i="21" s="1"/>
  <c r="O7" i="21"/>
  <c r="S7" i="21" s="1"/>
  <c r="N7" i="21"/>
  <c r="M7" i="21"/>
  <c r="R47" i="21"/>
  <c r="P47" i="21"/>
  <c r="T47" i="21" s="1"/>
  <c r="O47" i="21"/>
  <c r="S47" i="21" s="1"/>
  <c r="N47" i="21"/>
  <c r="M47" i="21"/>
  <c r="R35" i="21"/>
  <c r="P35" i="21"/>
  <c r="T35" i="21" s="1"/>
  <c r="O35" i="21"/>
  <c r="S35" i="21" s="1"/>
  <c r="N35" i="21"/>
  <c r="M35" i="21"/>
  <c r="R46" i="21"/>
  <c r="P46" i="21"/>
  <c r="T46" i="21" s="1"/>
  <c r="O46" i="21"/>
  <c r="S46" i="21" s="1"/>
  <c r="N46" i="21"/>
  <c r="M46" i="21"/>
  <c r="R45" i="21"/>
  <c r="P45" i="21"/>
  <c r="T45" i="21" s="1"/>
  <c r="O45" i="21"/>
  <c r="S45" i="21" s="1"/>
  <c r="N45" i="21"/>
  <c r="M45" i="21"/>
  <c r="R6" i="21"/>
  <c r="P6" i="21"/>
  <c r="T6" i="21" s="1"/>
  <c r="O6" i="21"/>
  <c r="S6" i="21" s="1"/>
  <c r="N6" i="21"/>
  <c r="M6" i="21"/>
  <c r="R44" i="21"/>
  <c r="P44" i="21"/>
  <c r="T44" i="21" s="1"/>
  <c r="O44" i="21"/>
  <c r="S44" i="21" s="1"/>
  <c r="N44" i="21"/>
  <c r="M44" i="21"/>
  <c r="R15" i="21"/>
  <c r="P15" i="21"/>
  <c r="T15" i="21" s="1"/>
  <c r="O15" i="21"/>
  <c r="S15" i="21" s="1"/>
  <c r="N15" i="21"/>
  <c r="M15" i="21"/>
  <c r="R5" i="21"/>
  <c r="P5" i="21"/>
  <c r="T5" i="21" s="1"/>
  <c r="O5" i="21"/>
  <c r="S5" i="21" s="1"/>
  <c r="N5" i="21"/>
  <c r="M5" i="21"/>
  <c r="R4" i="21"/>
  <c r="P4" i="21"/>
  <c r="T4" i="21" s="1"/>
  <c r="O4" i="21"/>
  <c r="S4" i="21" s="1"/>
  <c r="N4" i="21"/>
  <c r="M4" i="21"/>
  <c r="R14" i="21"/>
  <c r="P14" i="21"/>
  <c r="T14" i="21" s="1"/>
  <c r="O14" i="21"/>
  <c r="S14" i="21" s="1"/>
  <c r="N14" i="21"/>
  <c r="M14" i="21"/>
  <c r="R43" i="21"/>
  <c r="P43" i="21"/>
  <c r="T43" i="21" s="1"/>
  <c r="O43" i="21"/>
  <c r="S43" i="21" s="1"/>
  <c r="N43" i="21"/>
  <c r="M43" i="21"/>
  <c r="R34" i="21"/>
  <c r="P34" i="21"/>
  <c r="T34" i="21" s="1"/>
  <c r="O34" i="21"/>
  <c r="S34" i="21" s="1"/>
  <c r="N34" i="21"/>
  <c r="M34" i="21"/>
  <c r="R3" i="21"/>
  <c r="P3" i="21"/>
  <c r="T3" i="21" s="1"/>
  <c r="O3" i="21"/>
  <c r="S3" i="21" s="1"/>
  <c r="N3" i="21"/>
  <c r="M3" i="21"/>
  <c r="R13" i="21"/>
  <c r="P13" i="21"/>
  <c r="T13" i="21" s="1"/>
  <c r="O13" i="21"/>
  <c r="S13" i="21" s="1"/>
  <c r="N13" i="21"/>
  <c r="M13" i="21"/>
  <c r="G51" i="18"/>
  <c r="C4" i="20"/>
  <c r="C11" i="20"/>
  <c r="B15" i="20" l="1"/>
  <c r="C15" i="20"/>
  <c r="D7" i="20"/>
  <c r="E7" i="20"/>
  <c r="B17" i="20" s="1"/>
  <c r="E10" i="20"/>
  <c r="D10" i="20"/>
  <c r="E4" i="20" l="1"/>
  <c r="B16" i="20"/>
  <c r="C16" i="20"/>
  <c r="E11" i="20"/>
  <c r="I7" i="20"/>
  <c r="C17" i="20"/>
  <c r="C19" i="20" s="1"/>
  <c r="B19" i="20"/>
  <c r="B18" i="20"/>
  <c r="C18" i="20"/>
  <c r="L3" i="18"/>
  <c r="M3" i="18"/>
  <c r="L4" i="18"/>
  <c r="M4" i="18"/>
  <c r="L5" i="18"/>
  <c r="M5" i="18"/>
  <c r="L6" i="18"/>
  <c r="M6" i="18"/>
  <c r="L7" i="18"/>
  <c r="M7" i="18"/>
  <c r="L8" i="18"/>
  <c r="M8" i="18"/>
  <c r="L9" i="18"/>
  <c r="M9" i="18"/>
  <c r="L10" i="18"/>
  <c r="M10" i="18"/>
  <c r="L11" i="18"/>
  <c r="M11" i="18"/>
  <c r="L12" i="18"/>
  <c r="M12" i="18"/>
  <c r="L13" i="18"/>
  <c r="M13" i="18"/>
  <c r="L14" i="18"/>
  <c r="M14" i="18"/>
  <c r="L15" i="18"/>
  <c r="M15" i="18"/>
  <c r="L16" i="18"/>
  <c r="M16" i="18"/>
  <c r="L17" i="18"/>
  <c r="M17" i="18"/>
  <c r="L18" i="18"/>
  <c r="M18" i="18"/>
  <c r="L19" i="18"/>
  <c r="M19" i="18"/>
  <c r="L20" i="18"/>
  <c r="M20" i="18"/>
  <c r="L21" i="18"/>
  <c r="M21" i="18"/>
  <c r="L22" i="18"/>
  <c r="M22" i="18"/>
  <c r="L23" i="18"/>
  <c r="M23" i="18"/>
  <c r="L24" i="18"/>
  <c r="M24" i="18"/>
  <c r="L25" i="18"/>
  <c r="M25" i="18"/>
  <c r="L26" i="18"/>
  <c r="M26" i="18"/>
  <c r="L27" i="18"/>
  <c r="M27" i="18"/>
  <c r="L28" i="18"/>
  <c r="M28" i="18"/>
  <c r="L29" i="18"/>
  <c r="M29" i="18"/>
  <c r="L30" i="18"/>
  <c r="M30" i="18"/>
  <c r="L31" i="18"/>
  <c r="M31" i="18"/>
  <c r="L32" i="18"/>
  <c r="M32" i="18"/>
  <c r="L33" i="18"/>
  <c r="M33" i="18"/>
  <c r="L34" i="18"/>
  <c r="M34" i="18"/>
  <c r="L35" i="18"/>
  <c r="M35" i="18"/>
  <c r="L36" i="18"/>
  <c r="M36" i="18"/>
  <c r="L37" i="18"/>
  <c r="M37" i="18"/>
  <c r="L38" i="18"/>
  <c r="M38" i="18"/>
  <c r="L39" i="18"/>
  <c r="M39" i="18"/>
  <c r="L40" i="18"/>
  <c r="M40" i="18"/>
  <c r="L41" i="18"/>
  <c r="M41" i="18"/>
  <c r="L42" i="18"/>
  <c r="M42" i="18"/>
  <c r="L43" i="18"/>
  <c r="M43" i="18"/>
  <c r="L44" i="18"/>
  <c r="M44" i="18"/>
  <c r="L45" i="18"/>
  <c r="M45" i="18"/>
  <c r="L46" i="18"/>
  <c r="M46" i="18"/>
  <c r="L47" i="18"/>
  <c r="M47" i="18"/>
  <c r="L48" i="18"/>
  <c r="M48" i="18"/>
  <c r="L49" i="18"/>
  <c r="M49" i="18"/>
  <c r="I6" i="20" l="1"/>
  <c r="J6" i="20" s="1"/>
  <c r="R9" i="19"/>
  <c r="R13" i="19"/>
  <c r="P4" i="19"/>
  <c r="P5" i="19"/>
  <c r="P6" i="19"/>
  <c r="P7" i="19"/>
  <c r="P8" i="19"/>
  <c r="P9" i="19"/>
  <c r="P10" i="19"/>
  <c r="P11" i="19"/>
  <c r="P12" i="19"/>
  <c r="P13" i="19"/>
  <c r="P14" i="19"/>
  <c r="P15" i="19"/>
  <c r="P16" i="19"/>
  <c r="P17" i="19"/>
  <c r="P18" i="19"/>
  <c r="P19" i="19"/>
  <c r="P3" i="19"/>
  <c r="O4" i="19"/>
  <c r="R4" i="19" s="1"/>
  <c r="O5" i="19"/>
  <c r="R5" i="19" s="1"/>
  <c r="O6" i="19"/>
  <c r="R6" i="19" s="1"/>
  <c r="O7" i="19"/>
  <c r="R7" i="19" s="1"/>
  <c r="O8" i="19"/>
  <c r="R8" i="19" s="1"/>
  <c r="O9" i="19"/>
  <c r="O10" i="19"/>
  <c r="R10" i="19" s="1"/>
  <c r="O11" i="19"/>
  <c r="R11" i="19" s="1"/>
  <c r="O12" i="19"/>
  <c r="R12" i="19" s="1"/>
  <c r="O13" i="19"/>
  <c r="O14" i="19"/>
  <c r="R14" i="19" s="1"/>
  <c r="O15" i="19"/>
  <c r="R15" i="19" s="1"/>
  <c r="O16" i="19"/>
  <c r="R16" i="19" s="1"/>
  <c r="O17" i="19"/>
  <c r="R17" i="19" s="1"/>
  <c r="O18" i="19"/>
  <c r="R18" i="19" s="1"/>
  <c r="O19" i="19"/>
  <c r="R19" i="19" s="1"/>
  <c r="O3" i="19"/>
  <c r="R3" i="19" s="1"/>
  <c r="N4" i="19"/>
  <c r="Q4" i="19" s="1"/>
  <c r="N5" i="19"/>
  <c r="Q5" i="19" s="1"/>
  <c r="N6" i="19"/>
  <c r="Q6" i="19" s="1"/>
  <c r="N7" i="19"/>
  <c r="Q7" i="19" s="1"/>
  <c r="N8" i="19"/>
  <c r="Q8" i="19" s="1"/>
  <c r="N9" i="19"/>
  <c r="Q9" i="19" s="1"/>
  <c r="N10" i="19"/>
  <c r="Q10" i="19" s="1"/>
  <c r="N11" i="19"/>
  <c r="Q11" i="19" s="1"/>
  <c r="N12" i="19"/>
  <c r="Q12" i="19" s="1"/>
  <c r="N13" i="19"/>
  <c r="Q13" i="19" s="1"/>
  <c r="N14" i="19"/>
  <c r="Q14" i="19" s="1"/>
  <c r="N15" i="19"/>
  <c r="Q15" i="19" s="1"/>
  <c r="N16" i="19"/>
  <c r="Q16" i="19" s="1"/>
  <c r="N17" i="19"/>
  <c r="Q17" i="19" s="1"/>
  <c r="N18" i="19"/>
  <c r="Q18" i="19" s="1"/>
  <c r="N19" i="19"/>
  <c r="Q19" i="19" s="1"/>
  <c r="N3" i="19"/>
  <c r="Q3" i="19" s="1"/>
  <c r="M4" i="19"/>
  <c r="M5" i="19"/>
  <c r="M6" i="19"/>
  <c r="M7" i="19"/>
  <c r="M8" i="19"/>
  <c r="M9" i="19"/>
  <c r="M10" i="19"/>
  <c r="M11" i="19"/>
  <c r="M12" i="19"/>
  <c r="M13" i="19"/>
  <c r="M14" i="19"/>
  <c r="M15" i="19"/>
  <c r="M16" i="19"/>
  <c r="M17" i="19"/>
  <c r="M18" i="19"/>
  <c r="M19" i="19"/>
  <c r="M3" i="19"/>
  <c r="L4" i="19"/>
  <c r="L5" i="19"/>
  <c r="L6" i="19"/>
  <c r="L7" i="19"/>
  <c r="L8" i="19"/>
  <c r="L9" i="19"/>
  <c r="L10" i="19"/>
  <c r="L11" i="19"/>
  <c r="L12" i="19"/>
  <c r="L13" i="19"/>
  <c r="L14" i="19"/>
  <c r="L15" i="19"/>
  <c r="L16" i="19"/>
  <c r="L17" i="19"/>
  <c r="L18" i="19"/>
  <c r="L19" i="19"/>
  <c r="L3" i="19"/>
  <c r="S22" i="18" l="1"/>
  <c r="S38" i="18"/>
  <c r="Q4" i="18"/>
  <c r="Q5" i="18"/>
  <c r="Q6" i="18"/>
  <c r="Q7" i="18"/>
  <c r="Q8" i="18"/>
  <c r="Q9" i="18"/>
  <c r="Q10" i="18"/>
  <c r="Q11" i="18"/>
  <c r="Q12" i="18"/>
  <c r="Q13" i="18"/>
  <c r="Q14" i="18"/>
  <c r="Q15" i="18"/>
  <c r="Q16" i="18"/>
  <c r="Q17" i="18"/>
  <c r="Q18" i="18"/>
  <c r="Q19" i="18"/>
  <c r="Q20" i="18"/>
  <c r="Q21" i="18"/>
  <c r="Q22" i="18"/>
  <c r="Q23" i="18"/>
  <c r="Q24" i="18"/>
  <c r="Q25" i="18"/>
  <c r="Q26" i="18"/>
  <c r="Q27" i="18"/>
  <c r="Q28" i="18"/>
  <c r="Q29" i="18"/>
  <c r="Q30" i="18"/>
  <c r="Q31" i="18"/>
  <c r="Q32" i="18"/>
  <c r="Q33" i="18"/>
  <c r="Q34" i="18"/>
  <c r="Q35" i="18"/>
  <c r="Q36" i="18"/>
  <c r="Q37" i="18"/>
  <c r="Q38" i="18"/>
  <c r="Q39" i="18"/>
  <c r="Q40" i="18"/>
  <c r="Q41" i="18"/>
  <c r="Q42" i="18"/>
  <c r="Q43" i="18"/>
  <c r="Q44" i="18"/>
  <c r="Q45" i="18"/>
  <c r="Q46" i="18"/>
  <c r="Q47" i="18"/>
  <c r="Q48" i="18"/>
  <c r="Q49" i="18"/>
  <c r="Q3" i="18"/>
  <c r="N23" i="18"/>
  <c r="R23" i="18" s="1"/>
  <c r="O3" i="18"/>
  <c r="S3" i="18" s="1"/>
  <c r="O4" i="18"/>
  <c r="S4" i="18" s="1"/>
  <c r="O5" i="18"/>
  <c r="S5" i="18" s="1"/>
  <c r="O6" i="18"/>
  <c r="S6" i="18" s="1"/>
  <c r="O7" i="18"/>
  <c r="S7" i="18" s="1"/>
  <c r="O8" i="18"/>
  <c r="S8" i="18" s="1"/>
  <c r="O9" i="18"/>
  <c r="S9" i="18" s="1"/>
  <c r="O10" i="18"/>
  <c r="S10" i="18" s="1"/>
  <c r="O11" i="18"/>
  <c r="S11" i="18" s="1"/>
  <c r="O12" i="18"/>
  <c r="S12" i="18" s="1"/>
  <c r="O13" i="18"/>
  <c r="S13" i="18" s="1"/>
  <c r="O14" i="18"/>
  <c r="S14" i="18" s="1"/>
  <c r="O15" i="18"/>
  <c r="S15" i="18" s="1"/>
  <c r="O16" i="18"/>
  <c r="S16" i="18" s="1"/>
  <c r="O17" i="18"/>
  <c r="S17" i="18" s="1"/>
  <c r="O18" i="18"/>
  <c r="S18" i="18" s="1"/>
  <c r="O19" i="18"/>
  <c r="S19" i="18" s="1"/>
  <c r="O20" i="18"/>
  <c r="S20" i="18" s="1"/>
  <c r="O21" i="18"/>
  <c r="S21" i="18" s="1"/>
  <c r="O22" i="18"/>
  <c r="O23" i="18"/>
  <c r="S23" i="18" s="1"/>
  <c r="O24" i="18"/>
  <c r="S24" i="18" s="1"/>
  <c r="O25" i="18"/>
  <c r="S25" i="18" s="1"/>
  <c r="O26" i="18"/>
  <c r="S26" i="18" s="1"/>
  <c r="O27" i="18"/>
  <c r="S27" i="18" s="1"/>
  <c r="O28" i="18"/>
  <c r="S28" i="18" s="1"/>
  <c r="O29" i="18"/>
  <c r="S29" i="18" s="1"/>
  <c r="O30" i="18"/>
  <c r="S30" i="18" s="1"/>
  <c r="O31" i="18"/>
  <c r="S31" i="18" s="1"/>
  <c r="O32" i="18"/>
  <c r="S32" i="18" s="1"/>
  <c r="O33" i="18"/>
  <c r="S33" i="18" s="1"/>
  <c r="O34" i="18"/>
  <c r="S34" i="18" s="1"/>
  <c r="O35" i="18"/>
  <c r="S35" i="18" s="1"/>
  <c r="O36" i="18"/>
  <c r="S36" i="18" s="1"/>
  <c r="O37" i="18"/>
  <c r="S37" i="18" s="1"/>
  <c r="O38" i="18"/>
  <c r="O39" i="18"/>
  <c r="S39" i="18" s="1"/>
  <c r="O40" i="18"/>
  <c r="S40" i="18" s="1"/>
  <c r="O41" i="18"/>
  <c r="S41" i="18" s="1"/>
  <c r="O42" i="18"/>
  <c r="S42" i="18" s="1"/>
  <c r="O43" i="18"/>
  <c r="S43" i="18" s="1"/>
  <c r="O44" i="18"/>
  <c r="S44" i="18" s="1"/>
  <c r="O45" i="18"/>
  <c r="S45" i="18" s="1"/>
  <c r="O46" i="18"/>
  <c r="S46" i="18" s="1"/>
  <c r="O47" i="18"/>
  <c r="S47" i="18" s="1"/>
  <c r="O48" i="18"/>
  <c r="S48" i="18" s="1"/>
  <c r="O49" i="18"/>
  <c r="S49" i="18" s="1"/>
  <c r="N10" i="18"/>
  <c r="R10" i="18" s="1"/>
  <c r="N4" i="18"/>
  <c r="R4" i="18" s="1"/>
  <c r="N5" i="18"/>
  <c r="R5" i="18" s="1"/>
  <c r="N6" i="18"/>
  <c r="R6" i="18" s="1"/>
  <c r="N7" i="18"/>
  <c r="R7" i="18" s="1"/>
  <c r="N8" i="18"/>
  <c r="R8" i="18" s="1"/>
  <c r="N9" i="18"/>
  <c r="R9" i="18" s="1"/>
  <c r="N11" i="18"/>
  <c r="R11" i="18" s="1"/>
  <c r="N12" i="18"/>
  <c r="R12" i="18" s="1"/>
  <c r="N13" i="18"/>
  <c r="R13" i="18" s="1"/>
  <c r="N14" i="18"/>
  <c r="R14" i="18" s="1"/>
  <c r="N15" i="18"/>
  <c r="R15" i="18" s="1"/>
  <c r="N16" i="18"/>
  <c r="R16" i="18" s="1"/>
  <c r="N17" i="18"/>
  <c r="R17" i="18" s="1"/>
  <c r="N18" i="18"/>
  <c r="R18" i="18" s="1"/>
  <c r="N19" i="18"/>
  <c r="R19" i="18" s="1"/>
  <c r="N20" i="18"/>
  <c r="R20" i="18" s="1"/>
  <c r="N21" i="18"/>
  <c r="R21" i="18" s="1"/>
  <c r="N22" i="18"/>
  <c r="R22" i="18" s="1"/>
  <c r="N24" i="18"/>
  <c r="R24" i="18" s="1"/>
  <c r="N25" i="18"/>
  <c r="R25" i="18" s="1"/>
  <c r="N26" i="18"/>
  <c r="R26" i="18" s="1"/>
  <c r="N27" i="18"/>
  <c r="R27" i="18" s="1"/>
  <c r="N28" i="18"/>
  <c r="R28" i="18" s="1"/>
  <c r="N29" i="18"/>
  <c r="R29" i="18" s="1"/>
  <c r="N30" i="18"/>
  <c r="R30" i="18" s="1"/>
  <c r="N31" i="18"/>
  <c r="R31" i="18" s="1"/>
  <c r="N32" i="18"/>
  <c r="R32" i="18" s="1"/>
  <c r="N33" i="18"/>
  <c r="R33" i="18" s="1"/>
  <c r="N34" i="18"/>
  <c r="R34" i="18" s="1"/>
  <c r="N35" i="18"/>
  <c r="R35" i="18" s="1"/>
  <c r="N36" i="18"/>
  <c r="R36" i="18" s="1"/>
  <c r="N37" i="18"/>
  <c r="R37" i="18" s="1"/>
  <c r="N38" i="18"/>
  <c r="R38" i="18" s="1"/>
  <c r="N39" i="18"/>
  <c r="R39" i="18" s="1"/>
  <c r="N40" i="18"/>
  <c r="R40" i="18" s="1"/>
  <c r="N41" i="18"/>
  <c r="R41" i="18" s="1"/>
  <c r="N42" i="18"/>
  <c r="R42" i="18" s="1"/>
  <c r="N43" i="18"/>
  <c r="R43" i="18" s="1"/>
  <c r="N44" i="18"/>
  <c r="R44" i="18" s="1"/>
  <c r="N45" i="18"/>
  <c r="R45" i="18" s="1"/>
  <c r="N46" i="18"/>
  <c r="R46" i="18" s="1"/>
  <c r="N47" i="18"/>
  <c r="R47" i="18" s="1"/>
  <c r="N48" i="18"/>
  <c r="R48" i="18" s="1"/>
  <c r="N49" i="18"/>
  <c r="R49" i="18" s="1"/>
  <c r="N3" i="18"/>
  <c r="R3" i="18" s="1"/>
  <c r="B45" i="2" l="1"/>
  <c r="H76" i="2" l="1"/>
  <c r="H77" i="2"/>
  <c r="H78" i="2"/>
  <c r="H75" i="2"/>
  <c r="G56" i="2" l="1"/>
  <c r="G57" i="2" s="1"/>
  <c r="G58" i="2" s="1"/>
  <c r="G59" i="2" s="1"/>
  <c r="G60" i="2" s="1"/>
  <c r="G61" i="2" s="1"/>
  <c r="G62" i="2" s="1"/>
  <c r="G63" i="2" s="1"/>
  <c r="G64" i="2" s="1"/>
  <c r="G65" i="2" s="1"/>
  <c r="F56" i="2"/>
  <c r="F57" i="2" s="1"/>
  <c r="F58" i="2" s="1"/>
  <c r="F59" i="2" s="1"/>
  <c r="F60" i="2" s="1"/>
  <c r="F61" i="2" s="1"/>
  <c r="F62" i="2" s="1"/>
  <c r="F63" i="2" s="1"/>
  <c r="F64" i="2" s="1"/>
  <c r="F65" i="2" s="1"/>
  <c r="E56" i="2" l="1"/>
  <c r="E57" i="2" s="1"/>
  <c r="E58" i="2" s="1"/>
  <c r="E59" i="2" s="1"/>
  <c r="E60" i="2" s="1"/>
  <c r="E61" i="2" s="1"/>
  <c r="E62" i="2" s="1"/>
  <c r="E63" i="2" s="1"/>
  <c r="E64" i="2" s="1"/>
  <c r="E65" i="2" s="1"/>
  <c r="D56" i="2"/>
  <c r="D57" i="2" s="1"/>
  <c r="D58" i="2" s="1"/>
  <c r="D59" i="2" s="1"/>
  <c r="D60" i="2" s="1"/>
  <c r="D61" i="2" s="1"/>
  <c r="D62" i="2" s="1"/>
  <c r="D63" i="2" s="1"/>
  <c r="D64" i="2" s="1"/>
  <c r="D65" i="2" s="1"/>
  <c r="I56" i="2" l="1"/>
  <c r="I57" i="2" s="1"/>
  <c r="I58" i="2" s="1"/>
  <c r="I59" i="2" s="1"/>
  <c r="I60" i="2" s="1"/>
  <c r="I61" i="2" s="1"/>
  <c r="I62" i="2" s="1"/>
  <c r="I63" i="2" s="1"/>
  <c r="I64" i="2" s="1"/>
  <c r="I65" i="2" s="1"/>
  <c r="H56" i="2"/>
  <c r="H57" i="2" s="1"/>
  <c r="H58" i="2" s="1"/>
  <c r="H59" i="2" s="1"/>
  <c r="H60" i="2" s="1"/>
  <c r="H61" i="2" s="1"/>
  <c r="H62" i="2" s="1"/>
  <c r="H63" i="2" s="1"/>
  <c r="H64" i="2" s="1"/>
  <c r="H65" i="2" s="1"/>
  <c r="C58" i="2"/>
  <c r="C59" i="2" s="1"/>
  <c r="C60" i="2" s="1"/>
  <c r="C61" i="2" s="1"/>
  <c r="C62" i="2" s="1"/>
  <c r="C63" i="2" s="1"/>
  <c r="C64" i="2" s="1"/>
  <c r="C65" i="2" s="1"/>
  <c r="B58" i="2"/>
  <c r="B59" i="2" s="1"/>
  <c r="B60" i="2" s="1"/>
  <c r="B61" i="2" s="1"/>
  <c r="B62" i="2" s="1"/>
  <c r="B63" i="2" s="1"/>
  <c r="B64" i="2" s="1"/>
  <c r="B65" i="2" s="1"/>
</calcChain>
</file>

<file path=xl/comments1.xml><?xml version="1.0" encoding="utf-8"?>
<comments xmlns="http://schemas.openxmlformats.org/spreadsheetml/2006/main">
  <authors>
    <author>Matthias Tuchschmid</author>
  </authors>
  <commentList>
    <comment ref="Z73" authorId="0" shapeId="0">
      <text>
        <r>
          <rPr>
            <b/>
            <sz val="9"/>
            <color indexed="81"/>
            <rFont val="Tahoma"/>
            <family val="2"/>
          </rPr>
          <t>durchschn. Auslastung</t>
        </r>
        <r>
          <rPr>
            <i/>
            <sz val="9"/>
            <color indexed="81"/>
            <rFont val="Tahoma"/>
            <family val="2"/>
          </rPr>
          <t xml:space="preserve">
</t>
        </r>
        <r>
          <rPr>
            <b/>
            <sz val="9"/>
            <color indexed="81"/>
            <rFont val="Tahoma"/>
            <family val="2"/>
          </rPr>
          <t xml:space="preserve">30%  von 636 Sitzplätzen </t>
        </r>
        <r>
          <rPr>
            <i/>
            <sz val="9"/>
            <color indexed="81"/>
            <rFont val="Tahoma"/>
            <family val="2"/>
          </rPr>
          <t xml:space="preserve">
Quelle:
SBB (2014): Zahlen und Fakten.</t>
        </r>
      </text>
    </comment>
    <comment ref="Z74" authorId="0" shapeId="0">
      <text>
        <r>
          <rPr>
            <i/>
            <sz val="9"/>
            <color indexed="81"/>
            <rFont val="Tahoma"/>
            <family val="2"/>
          </rPr>
          <t xml:space="preserve">In einem durchschnittlichen Zug in </t>
        </r>
        <r>
          <rPr>
            <b/>
            <sz val="9"/>
            <color indexed="81"/>
            <rFont val="Tahoma"/>
            <family val="2"/>
          </rPr>
          <t>Deutschland sitzen 125 Personen</t>
        </r>
        <r>
          <rPr>
            <i/>
            <sz val="9"/>
            <color indexed="81"/>
            <rFont val="Tahoma"/>
            <family val="2"/>
          </rPr>
          <t xml:space="preserve">,gemäss  der UIC Statistik (2012). Die genaue Kapazität (=Anzahl Sitzplätze) ist nicht bekannt. Es wird hier mit der Anzahl an Sitzplätzen gemäss einem CH-Fernverkehrszug gerechnet.
</t>
        </r>
        <r>
          <rPr>
            <b/>
            <sz val="9"/>
            <color indexed="81"/>
            <rFont val="Tahoma"/>
            <family val="2"/>
          </rPr>
          <t xml:space="preserve">Durchschn. Auslastung: 42.8%
</t>
        </r>
        <r>
          <rPr>
            <i/>
            <sz val="9"/>
            <color indexed="81"/>
            <rFont val="Tahoma"/>
            <family val="2"/>
          </rPr>
          <t>(falls Zug gleiche Sitzplatzanzahl wie CH-Fernverkehrszug aufweist)</t>
        </r>
      </text>
    </comment>
    <comment ref="Z75" authorId="0" shapeId="0">
      <text>
        <r>
          <rPr>
            <b/>
            <sz val="9"/>
            <color indexed="81"/>
            <rFont val="Tahoma"/>
            <family val="2"/>
          </rPr>
          <t>durchschn. Auslastung
55%  von 425 Sitzplätzen</t>
        </r>
      </text>
    </comment>
    <comment ref="Z76" authorId="0" shapeId="0">
      <text>
        <r>
          <rPr>
            <b/>
            <sz val="9"/>
            <color indexed="81"/>
            <rFont val="Tahoma"/>
            <family val="2"/>
          </rPr>
          <t xml:space="preserve">durchschn. Auslastung
</t>
        </r>
        <r>
          <rPr>
            <i/>
            <sz val="9"/>
            <color indexed="81"/>
            <rFont val="Tahoma"/>
            <family val="2"/>
          </rPr>
          <t>75.7% der Sitzplätze gemässe Balance Lufthansa (2015)</t>
        </r>
      </text>
    </comment>
  </commentList>
</comments>
</file>

<file path=xl/sharedStrings.xml><?xml version="1.0" encoding="utf-8"?>
<sst xmlns="http://schemas.openxmlformats.org/spreadsheetml/2006/main" count="1588" uniqueCount="734">
  <si>
    <t>Thème</t>
  </si>
  <si>
    <t>Consommation</t>
  </si>
  <si>
    <t>Trajet voiture, Lausanne-Berlin, aller-retour</t>
  </si>
  <si>
    <t>Café, unité</t>
  </si>
  <si>
    <t>BAFU ACV Numérique</t>
  </si>
  <si>
    <t>Version du fichier</t>
  </si>
  <si>
    <t>Contact BAFU</t>
  </si>
  <si>
    <t>Contacts Quantis</t>
  </si>
  <si>
    <t>Office fédéral de l'environnement OFEV, Division Economie et Innovation, Monsieur Kaspar Gäggeler, 3003 Berne</t>
  </si>
  <si>
    <t>Quantis, PSE-D, EPFL, 1015 Lausanne, Suisse</t>
  </si>
  <si>
    <t>Jasmine Bitar, analyste ACV, jasmine.bitar@quantis-intl.com, 0041 078 963 60 84</t>
  </si>
  <si>
    <t>Adresse physique: Papiermühlestrasse 172, 3063 Ittigen</t>
  </si>
  <si>
    <t xml:space="preserve">Anne-Sophie Verquere, experte communication ACV, anne-sophie.verquere@quantis-intl.com, 0041 79 565 9118 </t>
  </si>
  <si>
    <t>Chiara Ferrario, expert communication ACV, chiara.ferrario@quantis-intl.com, 0041 76 277 86 65</t>
  </si>
  <si>
    <r>
      <rPr>
        <b/>
        <sz val="11"/>
        <color theme="1"/>
        <rFont val="Arial"/>
        <family val="2"/>
      </rPr>
      <t>Kaspar Gäggeler (contact principal)</t>
    </r>
    <r>
      <rPr>
        <sz val="11"/>
        <color theme="1"/>
        <rFont val="Arial"/>
        <family val="2"/>
      </rPr>
      <t>, kaspar.gaeggeler@bafu.admin.ch, 0041 58 469 18 60</t>
    </r>
  </si>
  <si>
    <r>
      <rPr>
        <b/>
        <sz val="11"/>
        <color theme="1"/>
        <rFont val="Arial"/>
        <family val="2"/>
      </rPr>
      <t>Sebastien Humbert (contact principal)</t>
    </r>
    <r>
      <rPr>
        <sz val="11"/>
        <color theme="1"/>
        <rFont val="Arial"/>
        <family val="2"/>
      </rPr>
      <t>, expert ACV, sebastien.humbert@quantis-intl.com, 0041 79 754 75 66</t>
    </r>
  </si>
  <si>
    <t>Date</t>
  </si>
  <si>
    <t>Commentaires</t>
  </si>
  <si>
    <t>Eau bouillie, bouilloire, 1 L</t>
  </si>
  <si>
    <t>Lecture, roman papier, achat en librairie, 300 pages</t>
  </si>
  <si>
    <t>Inventaire:</t>
  </si>
  <si>
    <t>Evaluation des impacts:</t>
  </si>
  <si>
    <t>Les données par défaut sont prises dans, par ordre de priorité: PEF method 2019, Quantis general guideliens and assumptions.</t>
  </si>
  <si>
    <t>Chaussures, commande en ligne, une paire</t>
  </si>
  <si>
    <t>Chaussures, commande en ligne, trois paires, deux renvoyées et détruites</t>
  </si>
  <si>
    <t>Chaussures, achat en magasin, une paire</t>
  </si>
  <si>
    <t>Qualité ("précision")</t>
  </si>
  <si>
    <t>Bonne</t>
  </si>
  <si>
    <t>Moyenne</t>
  </si>
  <si>
    <t>Rien</t>
  </si>
  <si>
    <t>Très bonne</t>
  </si>
  <si>
    <t>Trajet avion, Lausanne-Berlin, classe eco, aller-retour, un passager</t>
  </si>
  <si>
    <t>Logistique aérienne; Distribution finale (distance allouée)</t>
  </si>
  <si>
    <t>La modélisation exlut les émissions à long terme (en générale cela veut dire les émissions émisent dans plus de 100 ans)</t>
  </si>
  <si>
    <t>Trajet avion, Genève-New York, classe eco, aller-retour, un passager</t>
  </si>
  <si>
    <t>Limitations:</t>
  </si>
  <si>
    <t xml:space="preserve">Certaines données (notamment de la BD LCI UVEK) utilisent un mix electrique suisse alors que toutes les données modélisées par Quantis utilisent un mix ENTSO </t>
  </si>
  <si>
    <t>Hypothèses</t>
  </si>
  <si>
    <t>Lecture</t>
  </si>
  <si>
    <t>(Distribution; Acte d'achat)</t>
  </si>
  <si>
    <t>Water boiled with an electric kettle: boiling = 0.125 kWh/L (own measurements) (Quantis guidelines)</t>
  </si>
  <si>
    <t>6200 km</t>
  </si>
  <si>
    <t>Lausanne-Genève: 60 km; Genève-Berlin: 877 km</t>
  </si>
  <si>
    <t>Consommation des serveurs par Mo-an</t>
  </si>
  <si>
    <t>Trajet voiture, 1 km</t>
  </si>
  <si>
    <t>Envoi email, 1 email, pièce jointe 1 Mo</t>
  </si>
  <si>
    <t>Envoi email, 1000 emails, sans logo</t>
  </si>
  <si>
    <t>Fabrication du jeu (support); (Acte d'achat)</t>
  </si>
  <si>
    <t>Ecoute, musique, CD, 1 h</t>
  </si>
  <si>
    <t>Déplacement au magasin (à pied ici)</t>
  </si>
  <si>
    <t>Ecoute, radio, live, laptop, 1 h</t>
  </si>
  <si>
    <t>Quantité de données transmises?</t>
  </si>
  <si>
    <t>Ecoute, radio, replay, laptop, 1 h</t>
  </si>
  <si>
    <t>Ecoute, radio, live, FM, 1 h</t>
  </si>
  <si>
    <t>Envoi email, 1000 emails, avec logo</t>
  </si>
  <si>
    <t>Jeu vidéo, acheté en magasin, offline, 1 h</t>
  </si>
  <si>
    <t>Jeu vidéo, réalité virtuelle, 1 h</t>
  </si>
  <si>
    <t>Jeu vidéo, téléchargé, en ligne, 1 h</t>
  </si>
  <si>
    <t>Jeu vidéo, téléchargé, offline, 1 h</t>
  </si>
  <si>
    <t>Carottes suisses, cuites, 250 g</t>
  </si>
  <si>
    <t>Empreinte carbone (kg CO2e)</t>
  </si>
  <si>
    <t>Unité</t>
  </si>
  <si>
    <t xml:space="preserve">FAN </t>
  </si>
  <si>
    <t>"we assume that FAN electricity intensity is in the order of magnitude of 0.1–0.2 TWh/EB in 2012."</t>
  </si>
  <si>
    <t>"From 2012 to 2030 the overall electricity efficiency is expected to improve (…) by 10% in the expected (…) scenario."</t>
  </si>
  <si>
    <t>1 TWh/EB = 1 Wh/Mo</t>
  </si>
  <si>
    <t>Wh/Mo</t>
  </si>
  <si>
    <t>Data centers</t>
  </si>
  <si>
    <t>"For 2010, the data center electric usages (...) for (...) expected (…) scenario are calculated by the 2010 global data center IP traffic and(…) electricity per data values, (…) 0.14 (…) TWh/EB,"</t>
  </si>
  <si>
    <t>"annual electricity efficiency improvement, (…) 10% (expected)"</t>
  </si>
  <si>
    <t>Note in Andrae 2015: "The result for fixed access wired could be over-estimated due to too high starting values for TWh/EB in 2010–2012."</t>
  </si>
  <si>
    <t>The Shift project</t>
  </si>
  <si>
    <t>FAN</t>
  </si>
  <si>
    <t>L'infrastructure est considérée des fois où seul l'utilisation marginale (consommation d'électricité) serait justifiée.</t>
  </si>
  <si>
    <t>4G</t>
  </si>
  <si>
    <t>Andrae and Edler 2015:</t>
  </si>
  <si>
    <t>"electricity intensity 4G mobile data traffic in 2010 (…) 0.6 (…) TWh/EB"</t>
  </si>
  <si>
    <t>"annual electricity efficiency improvement, (…) 22% (expected)"</t>
  </si>
  <si>
    <t>"electricity intensity 5G mobile data traffic in 2010 (…) 0.06 (…) TWh/EB"</t>
  </si>
  <si>
    <t>5G</t>
  </si>
  <si>
    <t>ARCEP: https://www.arcep.fr/uploads/tx_gspublication/reseaux-du-futur-empreinte-carbone-numerique-juillet2019.pdf</t>
  </si>
  <si>
    <t>Hanna Pihkola, Mikko Hongisto, Olli Apilo and Mika Lasanen, 2018. Evaluating the Energy Consumption of Mobile Data Transfer—From Technology Development to Consumer Behaviour and Life Cycle Thinking.</t>
  </si>
  <si>
    <t>Anders S. G. Andrae and Tomas Edler 2015. On Global Electricity Usage of Communication Technology: Trends to 2030. Challenges 2015, 6, 117-157; doi:10.3390/challe6010117</t>
  </si>
  <si>
    <t>Note: Consommation estimnée à 10x plus faible que pour la 4G</t>
  </si>
  <si>
    <t>Wifi 16 W à 2 MB/s (Quantis mesure) (= 7200 MB/h)</t>
  </si>
  <si>
    <t>Entrecôte de boeuf suisse, 250 g</t>
  </si>
  <si>
    <t>Production des carottes + cuisson modélisés; PEF method 2019: 1 kWh/h for cooking; Assuming 20 min cooking</t>
  </si>
  <si>
    <t xml:space="preserve">Café filtre; Cycle de vie complet; basé sur la screening du PEFCR Coffee </t>
  </si>
  <si>
    <t>Modèle OEFSR Retail (production et fin de vie d'une paire de chaussures); Distribution (transport total usine-magasin, centre de distribution, magasin, déplacement du client au magasin) basée sur PEF method 2019 avec déplacement au magasin en voiture selon PEF method 2019 (1 kg total, 10 L volume)</t>
  </si>
  <si>
    <t>Sources:</t>
  </si>
  <si>
    <t>Calculs des consommations du système de transmissions et des serveurs:</t>
  </si>
  <si>
    <t>FIN</t>
  </si>
  <si>
    <t>Activité</t>
  </si>
  <si>
    <t>Durée</t>
  </si>
  <si>
    <t>Transmission</t>
  </si>
  <si>
    <t>Résolution</t>
  </si>
  <si>
    <t>Nombre Mo</t>
  </si>
  <si>
    <t>CO2 (g)</t>
  </si>
  <si>
    <t>Youtube</t>
  </si>
  <si>
    <t>10 min</t>
  </si>
  <si>
    <t>11,00</t>
  </si>
  <si>
    <t>Wifi</t>
  </si>
  <si>
    <t>9,63</t>
  </si>
  <si>
    <t>18,66</t>
  </si>
  <si>
    <t>Téléjournal RTS replay</t>
  </si>
  <si>
    <t>inconnu</t>
  </si>
  <si>
    <t>24,10</t>
  </si>
  <si>
    <t>Données mesurées par Kaspar (kaspar.gaeggeler@bafu.admin.ch) sur son smartphone (20.03.2020, avec Mobile Carbonalyser):</t>
  </si>
  <si>
    <t>Linéarité des résultats? (l'impact est-il double si la consommation est double?)</t>
  </si>
  <si>
    <t>Linéaire</t>
  </si>
  <si>
    <t>Presque linéaire</t>
  </si>
  <si>
    <t>Transmission, wifi, 1 h</t>
  </si>
  <si>
    <t>Dataset directement pris de UVEK (Use, computer, active mode/RER U - 1hr; Note: consommation 19 W)</t>
  </si>
  <si>
    <t>Lecture, journal local, papier</t>
  </si>
  <si>
    <t>Lecture, journal international, papier</t>
  </si>
  <si>
    <t>Anders Andrae, personal communication, 26.03.2020:</t>
  </si>
  <si>
    <t>Consommation 5G:</t>
  </si>
  <si>
    <t>Consommation FAN (2020):</t>
  </si>
  <si>
    <t>0.07 kWh/Go</t>
  </si>
  <si>
    <t>(Acte d'achat) (Fin de vie)</t>
  </si>
  <si>
    <t>Sous-datasets:</t>
  </si>
  <si>
    <t>Notes</t>
  </si>
  <si>
    <t>Radio/CD player (mesure Quantis): consommation 8 W (idem fonction radio et fonction CD), masse de 4 kg. Hypothèse: 7300 h d'utilisation</t>
  </si>
  <si>
    <t>Usage terminal, telephone fixe, h</t>
  </si>
  <si>
    <t>Consommation 10 W, https://www.energie-environnement.ch/electronique-informatique/telephone-fixe/1441
Masse = 200 g (hypothèse); 3650 h d'utilisation (hypothèse)</t>
  </si>
  <si>
    <t>2 personnes se parlent; telephone + transmission données</t>
  </si>
  <si>
    <t>Transmission de données, réseau téléphonique, h</t>
  </si>
  <si>
    <t>2 personnes se parlent; telephone portable/smartphone + transmission données approximée avec réseau téléphone</t>
  </si>
  <si>
    <t>Transmission des données (car approximée avec réseau téléphone fixe)</t>
  </si>
  <si>
    <t>Notes pour l'analyse</t>
  </si>
  <si>
    <t>Usage terminal, radio/CD player, h</t>
  </si>
  <si>
    <t>CD et emballage: 90 g (15 g CD, 70 g boîte, 5 g papier - mesure Quantis), Production selon IO NL avec 2 CHF (hypothèse), Distribution selon PEF method 2019 (provenance Europe (3500 km par camion) et 0.1 L de volume); hypothèse de 100 heures d'écoute par CD. Utilisation CD player</t>
  </si>
  <si>
    <t>Impact dominé par la fabrication du CD (et du CD player). Donc plus on écoute le même CD et/ou plus on utilise son CD player, moins il y a d'impact par heure d'écoute; pour une très grande écoute, on arrive à 4 g CO2e/h (= impact de la consommation électrique par heure)</t>
  </si>
  <si>
    <t>Radio + transmission données (approximée par le téléphone fixe)</t>
  </si>
  <si>
    <t>Moyennement linéaire</t>
  </si>
  <si>
    <t>Moyennement linéaire (40% de l'impact de la fabrication de la radio - qui diminue en fonction du nombre d'heures écoutée)</t>
  </si>
  <si>
    <t>Utilisation des serveurs incertaine</t>
  </si>
  <si>
    <t>Poids CD 15 g, 100 g de packaging; Production selon IO NL avec 2 CHF (hypothèse); Distribution selon PEF method 2019 (Hypothèse: volume = 1 L et 3500 km en camion); Déplacement au magasin à pied; On suppose que le joueur jouera 220 heures (statistique jeuxvideos.com); Ordi 1 h</t>
  </si>
  <si>
    <t>Ecoute, musique, streaming, smartphone, 1 h</t>
  </si>
  <si>
    <t>Usage terminal, TV, h</t>
  </si>
  <si>
    <t>TV (1 h) + réseau (hypothèse ADSL 1 Go, sans wifi)</t>
  </si>
  <si>
    <t>Calcul:</t>
  </si>
  <si>
    <t>Mo/h</t>
  </si>
  <si>
    <t>Serveurs incertains (mais ne dominent pas l'impact)</t>
  </si>
  <si>
    <t>Usage terminal, smartphone, h</t>
  </si>
  <si>
    <t>impacts consommation (8 W) et fabrication appareil (4 kg pour 7300 heures) similaires</t>
  </si>
  <si>
    <t>consommation domine l'impact</t>
  </si>
  <si>
    <t>Nom de l'action dans le modèle</t>
  </si>
  <si>
    <t>Stockage de données, cloud, Mo.an</t>
  </si>
  <si>
    <t>Stockage de données, disque, Mo.an</t>
  </si>
  <si>
    <t>Basé sur un dataset construit par Quantis pour les disques durs (5 ans, capacité de 256 Go)</t>
  </si>
  <si>
    <t>Usage terminal, tablette, h</t>
  </si>
  <si>
    <t>Hypothèse roman poche de 300 pages, 11x18 cm, 80 g/m2; Hypothèse: Imprimerie-librairie: 3500 km par camion (PEF method 2019); centre de distribution, magasin, déplacement à la librairie à pied; Volume DC/Retail = 1L</t>
  </si>
  <si>
    <t>Data center, activité, moyenne, par Mo généré</t>
  </si>
  <si>
    <t>Consommation électrique uniquement: 1.63 Wh/Go, basé sur Andrae 2019 (Projecting the chiaroscuro of the electricity use of communication and computing from 2018 to 2030, DOI: 10.13140/RG.2.2.25103.02724 - Table 1, present scenario for 2020).</t>
  </si>
  <si>
    <t>Modélisation du service en ligne incertaine</t>
  </si>
  <si>
    <t>Hypothèse photo de 2 Mo; Ordi (10 min) + ADSL+wifi (data)</t>
  </si>
  <si>
    <t>Netflix: https://media.netflix.com/en/company-blog/renewable-energy-at-netflix-an-update</t>
  </si>
  <si>
    <t>Nom du dataset dans le modèle (Simapro)</t>
  </si>
  <si>
    <t>Modèle Simapro: "BAFU ACV Numérique"</t>
  </si>
  <si>
    <t>Jeu vidéo, streaming, twitch, 1 h</t>
  </si>
  <si>
    <t>Stockage, cloud, 1000 emails, 5 ans</t>
  </si>
  <si>
    <t>Stockage, cloud, 1000 photos, 1 an</t>
  </si>
  <si>
    <t>Stockage, disque externe, 1000 photos, 1 an</t>
  </si>
  <si>
    <t>1 km, moyenne du parc automobile</t>
  </si>
  <si>
    <t>Lausanne-Berlin: 1060 km</t>
  </si>
  <si>
    <t>Paiement, e-banking, 1 paiement</t>
  </si>
  <si>
    <t>Transmission, 4G, 1000 Mo</t>
  </si>
  <si>
    <t>Transmission, 5G, 1000 Mo</t>
  </si>
  <si>
    <t>Transmission, ADSL, 1000 Mo</t>
  </si>
  <si>
    <t>Transmission, fibre, 1000 Mo</t>
  </si>
  <si>
    <t>Transmission, wifi, 1000 Mo</t>
  </si>
  <si>
    <t>Basé sur le dataset UVEK "Use, network access devices/CH U" (dataset qui utilise 7.5 W et 1 Mbits/s) corrigé avec le mix ENTSO et pour une utilisation de 2000 Mo/jour (hypothèse). Info: D'après l'ARSEP (https://www.arcep.fr/uploads/tx_gspublication/reseaux-du-futur-empreinte-carbone-numerique-juillet2019.pdf), l'ADSL consomme 1,8 Watt par ligne.</t>
  </si>
  <si>
    <t>Il est rare qu'on doit racheter un deuxième disque car notre premier disque est plein?</t>
  </si>
  <si>
    <t>2/3 consommation electrique (qui elle est proportionelle à l'utilisation), 1/3 allocation infrastructure ordi (qui lui est pas vraiment proportionel à l'utilisation)</t>
  </si>
  <si>
    <t>A notre grande surprise, la quantité de données transférée lors d'une lecture en ligne d'une heure est plus importante qu'imaginée. Autant que si l'on regarde un film/episode d'une heure sur netflix (mesure Quantis)</t>
  </si>
  <si>
    <t>Bonne (usage laptop et wifi équivalents en terme d'impact)</t>
  </si>
  <si>
    <t>Bonne (usage laptop, wifi et données équivalents en terme d'impact)</t>
  </si>
  <si>
    <t>Liste de gestes (appelés "actions") du quotidien évalués</t>
  </si>
  <si>
    <t>Gestes du quotidien, notamment numériques</t>
  </si>
  <si>
    <t>Datasets importés d'autres bases de données ou projets:</t>
  </si>
  <si>
    <t>Mo.an</t>
  </si>
  <si>
    <t>h</t>
  </si>
  <si>
    <t>Mo</t>
  </si>
  <si>
    <t>kg</t>
  </si>
  <si>
    <t>A notre grande surprise, la quantité de données transférée lors d'une lecture en ligne d'une heure est plus importante qu'imaginée. Autant que si l'on regarde un film/episode d'une heure sur netflix (mesure Quantis); Pour comparaison, avec calculs basé sur le nombre de visites (voir onglet "Sous-datasets et Notes"), impact du site web du journal de l'ordre de 2 g CO2e / visite (de 1 heure)</t>
  </si>
  <si>
    <t>Modélisation des serveurs du moteur de recherche incertaine.</t>
  </si>
  <si>
    <t>Discussion, par tele-conference, partage d'écran, SANS vidéo, 2 personnes, 1 h</t>
  </si>
  <si>
    <t>Linéaire (avec le temps de discussion)</t>
  </si>
  <si>
    <t>Impression, noir et blanc, recto, 1 feuille A4</t>
  </si>
  <si>
    <t>ATTENTION: Ne pas comparer avec la 4G: Incertitude trop grande pour clamer que la 5G consomme 10x moins que la 4G par Go</t>
  </si>
  <si>
    <t>ATTENTION: Ne pas comparer avec la 5G: Incertitude trop grande pour clamer que la 5G consomme 10x moins que la 4G par Go</t>
  </si>
  <si>
    <t>Transmission, données mobiles, 1000 Mo</t>
  </si>
  <si>
    <t>Andrae 2019. Projecting the chiaroscuro of the electricity use of communication and computing from 2018 to 2030 (DOI: 10.13140/RG.2.2.25103.02724). Downloadable at  https://www.researchgate.net/publication/331047520</t>
  </si>
  <si>
    <t>Note: Donnée la plus haute prise en compte. Certaines données donnent une valeur 12x plus petite pour 2020</t>
  </si>
  <si>
    <t>Lecture, roman e-book, 300 pages</t>
  </si>
  <si>
    <t>Impact dominé par l'amortissement de l'infrastructure de l'e-book. Avec l'hypothèse qu'on a acheté un e-book pour pouvoir lire des livres au lieu d'acheter des livres papiers.</t>
  </si>
  <si>
    <t>La question est donc "Le livre a-t-il dû "prendre" l'avion pour être livré?"</t>
  </si>
  <si>
    <t>Pas linéaire (car comme l'impact est dominé par l'amortissement de la fabrication de la tablette, plus on lit sur sa tablette, moins on a d'impact par heure de lecture)</t>
  </si>
  <si>
    <t>+/- 30%</t>
  </si>
  <si>
    <t>+/- facteur 2</t>
  </si>
  <si>
    <t>+/- 20%</t>
  </si>
  <si>
    <t>Incertitude (sans prendre en compte les variations liées au mix electrique de base)</t>
  </si>
  <si>
    <t>Calcul de l'impact des serveurs:</t>
  </si>
  <si>
    <t>Les serveurs se composent de deux éléments:</t>
  </si>
  <si>
    <t>Stockage</t>
  </si>
  <si>
    <t>Hébergement</t>
  </si>
  <si>
    <t>Stockage mesuré en données (e.g. To) stockées pendant un certain temps (e.g. an)</t>
  </si>
  <si>
    <t>Il faut compter environ 1 serveur d'hébergement pour supporter 1'000 demandes d'accès (donc 1'000 visites) max par heure (ou, en prenant en compte la variabilité dans les connections, 80'000 visites par mois)</t>
  </si>
  <si>
    <t>De manière générale, on doit multiplier par 4 la taille de tout fichier stocké, pour prendre le compte la sécurisation (x2) et la redondance (x2) (la redondance permettant de rendre l'accès plus facile)</t>
  </si>
  <si>
    <t>Data center (for hosting) blade system BC-2_Materials {GLO} (for 8 servers)| market for | Cut-off, S</t>
  </si>
  <si>
    <t>Data center (for storage) BC-3_Materials {GLO}| market for | Cut-off, S (per 240 To.an)</t>
  </si>
  <si>
    <t>Lecture de 1 h (ordi + wifi + ADSL) et 400 Mo transférés (mesure Quantis, site "Le Temps")
Site web: 1'000'000 visites/mois; Taille = 40 To (hypothèse)
Un facteur de 4 est ajouté pour prendre en compte la Redondance (x2) et le Backup (x2)</t>
  </si>
  <si>
    <t>Poids de 300 ko, 10 min de lecture, stockage de 4 ans sur les serveurs; Ordi+Wifi (temps) + ADSL (data)
Facteur 4 pour prendre en compte la redondance (x2) et le backup (x2).</t>
  </si>
  <si>
    <t>Site web / stockage en ligne</t>
  </si>
  <si>
    <t>Moyenne (impacts ordi, wifi, transmissions données, et site web similaires)</t>
  </si>
  <si>
    <t>+/- 50%</t>
  </si>
  <si>
    <t>+/- 40%</t>
  </si>
  <si>
    <t>Presque linéaire avec le temps de lecture (en effet, une partie non négligeable de l'impact provient de la consommation electrique de l'ordi et du wifi (et en partie pour l'ADSL et le site web), donc 2 heures de lecture aura plus d'impact qu'une heure de lecture - mais pas le double!)</t>
  </si>
  <si>
    <t>Presque linéaire avec le temps de lecture et la taille (avec la taille et le temps de lecture - mais les deux sont a priori corrélés)</t>
  </si>
  <si>
    <t>Lecture, newsletter mail, 300 ko, 10 min</t>
  </si>
  <si>
    <t>Linéaire (avec la taille du journal)</t>
  </si>
  <si>
    <t>+/-30 % (quazi-uniquement une question de taille du journal)</t>
  </si>
  <si>
    <t>(Livraison sur le "dernier km") (Fin de vie)</t>
  </si>
  <si>
    <t>L'impact est dominé par la production du papier (et un peu l'impression). Donc l'impact du journal est corrélé à sa masse et donc sa taille. Il ne faut évidemment PAS aller chercher son journal en voiture (avec un trajet dédié en voiture), sinon l'impact "explose" à cause de la voiture</t>
  </si>
  <si>
    <t>Hypothèse: 80 g (mesure "Le Temps"); Distribution imprimerie-kiosque/client (PEF method 2019); Hypothèse: Achat a pied (ou livraison à domicile)
Note: Livraison par la poste correspond à environ 20 g CO2e par item livré (mais 0 si il y a de toute façon une lettre ou autre livrée chaque jour)</t>
  </si>
  <si>
    <t>Hypothèse journal de 80 g; Transporté depuis les US (New-York - Zurich, 6300 km); Distribution aéroport-kiosque/client (PEF method 2019); Hypothèse: Achat a pied (ou livraison à domicile). Note: Livraison par la poste correspond à environ 20 g CO2e par item livré (mais 0 si il y a de toute façon une lettre ou autre livrée chaque jour)</t>
  </si>
  <si>
    <t>Dominé par le transport aérien et donc complétement lié à où est imprimé le journal et comment est-il livré</t>
  </si>
  <si>
    <t>La question est donc "Le journal a-t-il du "prendre" l'avion pour être livré?" Est-ce qu'un journal international est imprimé localement?? A discuter avec les journaliste?</t>
  </si>
  <si>
    <t>Presque linéaire (avec le temps de lecture sur l'ordi (et donc, en partie, avec la taille du PDF))</t>
  </si>
  <si>
    <t>Stockage en ligne du PDF pendant plusieures années sur le site web du journal</t>
  </si>
  <si>
    <t>Moyenne (impacts dominés par l'ordi et le wifi, et le site web du journal)</t>
  </si>
  <si>
    <t>+/- 50% (le wifi n'a pas besoin d'être allumé pendant la lecture une fois le PDF téléchargé; stockge sur site web incertain)</t>
  </si>
  <si>
    <t>Lecture de 1 h (ordi + wifi) et 50 Mo transférés pour un PDF de 7 Mo (mesure Quantis, site "Le Temps") (ADSL); Hypothèse: stockage du journal sur le site web, considéré avec un server de stockage pendant 5 ans (mais sans le serveur d'hébergement qui lui est celui du site web).
Site web: 1'000'000 visites/mois (avec une moyenne de 30'000 lecteurs online); Taille = 40 To (hypothèse)
Un facteur de 4 est ajouté pour prendre en compte la Redondance (x2) et la Backup (x2)</t>
  </si>
  <si>
    <t>Impact dominé par le stockage de données en ligne, puis l'ordinateur et le wifi</t>
  </si>
  <si>
    <t>Attention à ne pas faire un trajet dédié en voiture à la librairie (sinon on "explose" assez vite les impacts)</t>
  </si>
  <si>
    <t>+/- 30% (principalement taille du livre)</t>
  </si>
  <si>
    <t>Déplacement à la librairie (à pied ici); Impact de la librairie</t>
  </si>
  <si>
    <t>Bonne (impact dominé par la production du livre, et ensuite par la livraison en camion et la librairie)</t>
  </si>
  <si>
    <t>Hypothèse roman poche de 300 pages, rythme de lecture 3 h pour 100 pages; Poids moyen e-book 3 Mo (source : www.actualitte.com); Tablette (temps) + ADSL+wifi+Datacenter (data)
Facteur 4 pour les données sur le site web pour prendre en compte la redondance (x2) et le backup (x2)</t>
  </si>
  <si>
    <t>Moyenne (impact complétement dominé par l'amortissement de la tablette)</t>
  </si>
  <si>
    <t>Impact dominé par l'infrastructure de la tablette (et non pas la consommation) et donc par l'hypothèse du nombre d'heures de lectures par vie de la tablette; (fabrication de la tablette)</t>
  </si>
  <si>
    <t>Bonne (! Mais très variable avec la livraison en avion ou pas!)</t>
  </si>
  <si>
    <t>Linéaire (avec la taille du livre)</t>
  </si>
  <si>
    <t>Lorsqu'un dataset n'existe pas dans UVEK, il a été copié/importé d'une autre banque de données, avec, par ordre de priorit: ecoinvent 2, ecoinvent 3 cut-off, OEFSR Retail virtual organization, PEFCR Coffee Screening, Input-Output, projets Quantis.</t>
  </si>
  <si>
    <t>Linéarité des résultats? (p.ex. l'impact est-il double si la consommation est double?)</t>
  </si>
  <si>
    <r>
      <t>"Jeu video, telechargé, offline, 1 h" + 0.016 kWh/h (sensors de réaslité virtue</t>
    </r>
    <r>
      <rPr>
        <sz val="11"/>
        <color theme="1"/>
        <rFont val="Calibri"/>
        <family val="2"/>
        <scheme val="minor"/>
      </rPr>
      <t xml:space="preserve">lle - </t>
    </r>
    <r>
      <rPr>
        <sz val="11"/>
        <color theme="1"/>
        <rFont val="Calibri (Corps)"/>
      </rPr>
      <t>Green Gaming: Energy Efficiency without Performance Compromise, Research performed under the project entitled: A Plug-loads Game Changer: Gaming System Energy Efficiency without Performance Compromise - CEC/LBNL Agreement # EPC-15-023 – Task 7)</t>
    </r>
  </si>
  <si>
    <r>
      <t xml:space="preserve">Lecture, journal </t>
    </r>
    <r>
      <rPr>
        <b/>
        <sz val="11"/>
        <color theme="1"/>
        <rFont val="Calibri (Corps)"/>
      </rPr>
      <t>local, ordinateur, lecture en ligne</t>
    </r>
  </si>
  <si>
    <r>
      <t xml:space="preserve">Lecture, journal </t>
    </r>
    <r>
      <rPr>
        <b/>
        <sz val="11"/>
        <color theme="1"/>
        <rFont val="Calibri (Corps)"/>
      </rPr>
      <t>local</t>
    </r>
    <r>
      <rPr>
        <b/>
        <sz val="11"/>
        <color theme="1"/>
        <rFont val="Calibri"/>
        <family val="2"/>
        <scheme val="minor"/>
      </rPr>
      <t>, ordinateur</t>
    </r>
    <r>
      <rPr>
        <b/>
        <sz val="11"/>
        <color theme="1"/>
        <rFont val="Calibri (Corps)"/>
      </rPr>
      <t>, PDF téléchargé</t>
    </r>
  </si>
  <si>
    <r>
      <t xml:space="preserve">Hypothèse roman poche de 300 pages, 11x18 cm, 80 g/m2; Hypothèse: Imprimerie-Zurich: Approvisionnement depuis l'Europe (3500 km) par </t>
    </r>
    <r>
      <rPr>
        <b/>
        <sz val="11"/>
        <color theme="1"/>
        <rFont val="Calibri"/>
        <family val="2"/>
        <scheme val="minor"/>
      </rPr>
      <t>AVION</t>
    </r>
    <r>
      <rPr>
        <sz val="11"/>
        <color theme="1"/>
        <rFont val="Calibri"/>
        <family val="2"/>
        <scheme val="minor"/>
      </rPr>
      <t xml:space="preserve"> (PEF method 2019); Distribution Zurich-client: 250 km par van (PEF method 2019); centre de distribution; Volume DC = 1L; Comande sur internet pendant 10 min et 50 Mo (Ordi+Wifi (temps) + ADSL (data)); Facteur 4 pris en compte pour le site web (data center) pour la redondance (x2) et le backup (x2)</t>
    </r>
  </si>
  <si>
    <r>
      <t>10 Mo pour 10 min de message (Quantis data)</t>
    </r>
    <r>
      <rPr>
        <sz val="11"/>
        <color theme="1"/>
        <rFont val="Calibri (Corps)"/>
      </rPr>
      <t>; 2 utilisateurs (10 min pour la création et 10 min pour l'écoute)</t>
    </r>
    <r>
      <rPr>
        <sz val="11"/>
        <color theme="1"/>
        <rFont val="Calibri"/>
        <family val="2"/>
        <scheme val="minor"/>
      </rPr>
      <t>; Datacenter</t>
    </r>
  </si>
  <si>
    <r>
      <rPr>
        <b/>
        <sz val="11"/>
        <color theme="1"/>
        <rFont val="Calibri (Corps)"/>
      </rPr>
      <t>Ordinateur</t>
    </r>
    <r>
      <rPr>
        <b/>
        <sz val="11"/>
        <color theme="1"/>
        <rFont val="Calibri"/>
        <family val="2"/>
        <scheme val="minor"/>
      </rPr>
      <t>, usage bureautique, 1 h</t>
    </r>
  </si>
  <si>
    <r>
      <t>Discussion, par tele-conference</t>
    </r>
    <r>
      <rPr>
        <b/>
        <sz val="11"/>
        <color theme="1"/>
        <rFont val="Calibri (Corps)"/>
      </rPr>
      <t>, partage d'écran,</t>
    </r>
    <r>
      <rPr>
        <b/>
        <sz val="11"/>
        <color theme="1"/>
        <rFont val="Calibri"/>
        <family val="2"/>
        <scheme val="minor"/>
      </rPr>
      <t xml:space="preserve"> </t>
    </r>
    <r>
      <rPr>
        <b/>
        <sz val="11"/>
        <color theme="1"/>
        <rFont val="Calibri (Corps)"/>
      </rPr>
      <t xml:space="preserve">AVEC </t>
    </r>
    <r>
      <rPr>
        <b/>
        <sz val="11"/>
        <color theme="1"/>
        <rFont val="Calibri"/>
        <family val="2"/>
        <scheme val="minor"/>
      </rPr>
      <t>vidéo, 2 personnes, 1 h</t>
    </r>
  </si>
  <si>
    <t>Lecture, roman papier, achat en ligne, 300 pages</t>
  </si>
  <si>
    <t>Production de la viande + cuisson modélisés; Bœuf: Allocation ratio de 1.9 utilisé du PEF method 2019 (pour avoir l'impact moyen de la viande) + allocation d'un facteur 2 pour évaluer l'entrcôte par rapport à la viande moyenne (estimation); Cuisson: 1 kWh/h for 10 min (PEF method 2019)</t>
  </si>
  <si>
    <t>Poids emails : 90% des emails sont à 50 ko - 10% des emails sont à 5Mo; ADSL+wifi (data); Ordi négligé car pas d'action nécessaire pour avoir ses emails stocké sur le cloud (c'est par défaut)
Facteur 4 pris en compte pour redondance (x2) et backup (x2)</t>
  </si>
  <si>
    <t>Linéaire (avec la taille et le nombre d'années stockés)</t>
  </si>
  <si>
    <t>Consommation des serveurs par Mo-an incertaine (incertitude surtout sur le nombre de serveurs pour l'hébergement); Facteur 4 pour la redondance (x2) et le backup (2x)</t>
  </si>
  <si>
    <t>Ce qui peut être amélioré</t>
  </si>
  <si>
    <t>Hypothèse photo de 2 Mo; Ordi (10 min) + Disque externe (hypothèse: seulement 20% du disque est utilisé en moyenne (donc impact du disque multiplié par 5))</t>
  </si>
  <si>
    <t>+/- 50% (on fait l'hypothèse que seulement 20% du disque est utilisé)</t>
  </si>
  <si>
    <t>(Production du disque); taux d'utilisation du disque</t>
  </si>
  <si>
    <t>2 x 1 h ordi, 2 x 1 h wifi, ADSL+Datacenter avec  80 Mo/h de données transférées (mesure Quantis, avec Skype) et 2 x 5 W additionnels pour les ordis (20 W --&gt; 25 W, mesure Quantis) 
Facteur 4 pris en compte pour le traitement des 80 M dans les centres de traitement (x2 pour redondance et x2 pour backup)
Note: Application Skype (216 Mo) téléchargée 1x/an pour 200 h d'utilisation/an (hypothèse) --&gt; négligeable</t>
  </si>
  <si>
    <t>(Data center pour traiter les données skype)</t>
  </si>
  <si>
    <t>2 x 1 h ordi, 2 x 1 h wifi, ADSL+Datacenter avec  400 Mo/h de données transférées (mesure Quantis, avec Skype) et 2 x 10 W additionels pour les ordis (20 W --&gt; 30 W, mesure Quantis); 
Facteur 4 pris en compte pour la redondance (x2) et la backup (x2) pour le traitement des données.
Note: Application Skype (216 Mo) téléchargée 1x/an pour 200 h d'utilisation/an (hypothèse) --&gt; négligeable</t>
  </si>
  <si>
    <t>Presque linéaire (avec le temps d'usage)</t>
  </si>
  <si>
    <t>+/- 10%</t>
  </si>
  <si>
    <t>Hypothèse sur la fraction du temps où le wifi est allumé</t>
  </si>
  <si>
    <t>Linéaire (avec le temps d'utilisation)</t>
  </si>
  <si>
    <t>Wifi 16 W (Quantis mesure) (pour un wifi de 2 MB/s max); Masse = 1 kg; Durée de vie = 5 ans; Utilisation effective = 50%</t>
  </si>
  <si>
    <t>Note: wifi utilisé à pleine puissance en terme de données/s</t>
  </si>
  <si>
    <t>Très bonne (impact dominé par la consommation electrique, qui est indépendante de la quantité de données transmises)</t>
  </si>
  <si>
    <t>Presque linéaire (avec la quantité de données transférées)</t>
  </si>
  <si>
    <t>Linéaire (avec la quantité de données transférées)</t>
  </si>
  <si>
    <t>Infrastructure données mobiles</t>
  </si>
  <si>
    <t>Andrae 2019 (DOI: 10.13140/RG.2.2.25103.02724): 0.18 kWh/Go pour 2020 (Table 2, "present" scenario) (pour comparaison: ARCEP: 0.60 kWh/Go; Andrae and Edler 2015: 0.047-1.04 kWh/Go in 2020; Pihkola et al 2018: 0.46 kWh/Go en 2016)</t>
  </si>
  <si>
    <t>Moyennement linéaire (avec la quantité de données transférées) (en effet, il semble que la consommation d'électricité ne monte pas linéairement avec la demande en données)</t>
  </si>
  <si>
    <t>Modèle créé par Quantis d'après Schien et al. 2014 avec 0.052 Wh/MB. Note: Andrae and Edler 2015 suggère 0.065 Wh/Mo en 2020; Andrae (personal communication): 0.07 kWh/Go en 2020; ARCEP 0.5 W (https://www.arcep.fr/uploads/tx_gspublication/reseaux-du-futur-empreinte-carbone-numerique-juillet2019.pdf)</t>
  </si>
  <si>
    <t>Infrastructure système fibre</t>
  </si>
  <si>
    <t xml:space="preserve">L'impact "marginal" (de demander 1000 Mo additionels) est probablement plus bas puisque la consommation electrique du système ne semble pas être proportionelle à la quantité de données transférées </t>
  </si>
  <si>
    <t>10 x moins que la 4G</t>
  </si>
  <si>
    <t>0.6 kWh/Go (ARCEP); Andrae and Edler 2015: 0.047-1.04 kWh/GB in 2020; Pihkola et al 2018: 0.46 kWh/Go en 2016</t>
  </si>
  <si>
    <t>0.06 kWh/Go (basé sur ARCEP pour le 4G et Andrae and Edler 2015 disant que 5G 10x moins que la 4G) (ou 0.0047-1.04 Wh/MB in 2020 following Andrae and Edler 2015)</t>
  </si>
  <si>
    <t>Infrastructure système fibre; hypothèse de la quantité de données par jour</t>
  </si>
  <si>
    <r>
      <t xml:space="preserve">Lecture, journal international, </t>
    </r>
    <r>
      <rPr>
        <b/>
        <sz val="11"/>
        <color theme="1"/>
        <rFont val="Calibri (Corps)"/>
      </rPr>
      <t>ordinateur</t>
    </r>
    <r>
      <rPr>
        <b/>
        <sz val="11"/>
        <color theme="1"/>
        <rFont val="Calibri"/>
        <family val="2"/>
        <scheme val="minor"/>
      </rPr>
      <t>, lecture en ligne</t>
    </r>
  </si>
  <si>
    <t>Hypothesis: 1 server (for hosting) can handle 1'000'000 hours of video/yr (hypothesis: if we need one hosting server per 80'000 visits/month of 2 hours each = 160'000 hours of video/month = 1'920'000 hours/yr, rounded to 1'000'000 hours/yr to be safe side); Storage: one episode of i hr of is 10 Go and can be accessed simultaneously by the number of users of the server for hosting (which is max 1'000 pers/hour - implicitely means that one needs to store one 1 hr 10 Go episode for one year for 1000 users). The correction factor of 4 for redudancy and nbackup is not considered in this dataset (needs to be added in the dataset calling this dataset).</t>
  </si>
  <si>
    <t>Moyenne (Impact dominé par la quantité de données streamées (ADSL) et le temps passé sur l'ordinateur+wifi)</t>
  </si>
  <si>
    <t>Nombre de serveurs incertains + ADSL</t>
  </si>
  <si>
    <t>Presque linéaire (au temps passé car consommation dominé par temps ordi+wifi et quantité de données transférées - qui est moyennement proportionnelle à la consommation de l'ADSL)</t>
  </si>
  <si>
    <r>
      <t>Ordi+wifi (1h) + ADSL+Datacenter (données); Mesure Carbonalyzer par Quantis: 1200 Mo par heure (</t>
    </r>
    <r>
      <rPr>
        <sz val="11"/>
        <color theme="1"/>
        <rFont val="Calibri (Corps)"/>
      </rPr>
      <t>Stockage à long terme non compté car alloué au replay et non au streaming "live")</t>
    </r>
    <r>
      <rPr>
        <sz val="11"/>
        <color theme="1"/>
        <rFont val="Calibri"/>
        <family val="2"/>
        <scheme val="minor"/>
      </rPr>
      <t>. Serveur hébergement considéré pour satisfaire 1000 utilisations en même temps (mais que 1 h par jour). Pas de redondance et backup considéré car live.</t>
    </r>
  </si>
  <si>
    <t>Moyenne (Impact dominé par la quantité de données streamées (mobiles) et, deuxièment, le server)</t>
  </si>
  <si>
    <t>Presque linéaire (linéaire à la quantité de données nécessaire par le réseau mobile, et donc en partie au temps passé puisque la résolution sur le smartphone est variable)</t>
  </si>
  <si>
    <t>Ordi+wifi (1h) + ADSL (données); 1200 Mo en 1 h (measure Quantis, en HD, avec Carbonalyser); Data center (par utilisateur.heure de visionnage)</t>
  </si>
  <si>
    <t>Calcul de l'impact de Netflix:</t>
  </si>
  <si>
    <t>Ordi+wifi (1h) + ADSL (données); SD: 700 Mo pour 1 heure (hypothèse netflix, https://help.netflix.com/en/node/87); Data center (par utilisateur.heure de visionnage). Facteur 4 pris en compte pour redondance et backup.</t>
  </si>
  <si>
    <t>Serveurs incertains; Impact ADSL incertain</t>
  </si>
  <si>
    <t>Serveurs incertains; Impact ADSL incertain. Note: tests par Quantis: 250 Mo/h et 600 Mo/h pour une connection moyenne</t>
  </si>
  <si>
    <t>Ordi+wifi (1h) + ADSL (données); HD: 3000 Mo pour 1 heure (hypothèse netflix, https://help.netflix.com/en/node/87); Data center (par utilisateur.heure de visionnage). Facteur 4 pris en compte pour redondance et backup.</t>
  </si>
  <si>
    <t>Serveurs incertains; Impact ADSL incertain. Note: tests par Quantis: 85 Mo/h à 500 Mo/h en fonction de la résoliution</t>
  </si>
  <si>
    <t>Impact ordi, wifi, ADSL et data center équivalents. Impact proportionel à la quantité de données streamées et au temps de visionnage (les deux étant en partie liés)</t>
  </si>
  <si>
    <t>Impact ADSL domine, et ensuite ordi, wifi, et data center équivalents. Impact proportionel à la quantité de données streamées et au temps de visionnage (les deux étant en partie liés)</t>
  </si>
  <si>
    <t>EcranTV (1h) + (no wifi, connection direct au fil) ADSL (données); SD: 700 Mo pour 1 heure (hypothèse netflix, https://help.netflix.com/en/node/87); Data center (par utilisateur.heure de visionnage)</t>
  </si>
  <si>
    <t>EcranTV (1h) + (no wifi, connection direct au fil) ADSL (données); HD: 3000 Mo pour 1 heure (hypothèse netflix, https://help.netflix.com/en/node/87); Data center (par utilisateur.heure de visionnage)</t>
  </si>
  <si>
    <t>Video, streaming, laptop, fournisseur de films, HD, 1 h</t>
  </si>
  <si>
    <t>Video, streaming, laptop, fournisseur de films, SD, 1 h</t>
  </si>
  <si>
    <t>Video, streaming, ecran TV, fournisseur de films, HD, 1 h</t>
  </si>
  <si>
    <t>Video, streaming, ecran TV, fournisseur de films, SD, 1 h</t>
  </si>
  <si>
    <t>+/- facteur 2 (entièrement lié à comment on compte l'amortissement de la tablette)</t>
  </si>
  <si>
    <t>+/- facteur 5 (dominé par le transport en avion, et donc très sensible à l'hypothèse sur la logistique)</t>
  </si>
  <si>
    <t>+/- facteur 4</t>
  </si>
  <si>
    <t>+/- facteur 2 (surtout impact ADSL incertain, ainsi que data centers)</t>
  </si>
  <si>
    <t>+/- facteur 2 (en partie car la résolution Netflix (et donc la quantité de données transmises) peut varier d'un facteur 4, ainsi que la variabilité sur les autres postes, dont les data centers)</t>
  </si>
  <si>
    <t>+/- facteur 2 (en partie car la résolution youtube (et donc la quantité de données transmises) peut varier d'un facteur 4, ainsi que la variabilité sur les autres postes, dont les data centers)</t>
  </si>
  <si>
    <t>+/- facteur 10 (dominé par le transport en avion, et donc très sensible à l'hypothèse sur la logistique)</t>
  </si>
  <si>
    <t>consommation domine l'impact (env. 80%)</t>
  </si>
  <si>
    <t>Consommation 100 W (hypothèse; variabilité entre 60 W et 400 W), masse de 10 kg (hypothèse). 7300 h d'utilisation (hypothèse)</t>
  </si>
  <si>
    <t>Impact Ecran TV domine, ensuite ADSL domine, et ensuite data center. Impact proportionel au temps de visionnage principalement</t>
  </si>
  <si>
    <t>Impact ADSL domine, ensuite ecran TV, ensuite data center. Impact proportionel au temps de visionnage principalement</t>
  </si>
  <si>
    <t>MWh/y</t>
  </si>
  <si>
    <t>Source: https://media.netflix.com/en/company-blog/renewable-energy-at-netflix-an-update</t>
  </si>
  <si>
    <t xml:space="preserve">Direct and indirect electricity of Netflix (offices, servers, etc. - for 2016): </t>
  </si>
  <si>
    <t>Netflix use (2016)</t>
  </si>
  <si>
    <t>hours streamed per day</t>
  </si>
  <si>
    <t>Electricity use (for Netflix service (offices and datacenters)) (for 2016):</t>
  </si>
  <si>
    <t>Wh/hour streamed</t>
  </si>
  <si>
    <t>= about 1.4 gCO2e (electricity) = about 2 gCO2e (electricity + infrastructure)</t>
  </si>
  <si>
    <t>Netflix claims (https://media.netflix.com/en/company-blog/renewable-energy-at-netflix-an-update) to have divided by 2 the impact per data streamed between 2015 and 2016</t>
  </si>
  <si>
    <t>If we extrapolate to 2020, this would mean a reduction of electriciyt consumption per data by a factor 16! However, there is a high chance that the amount of data streamd per hour of movie hjas increased in the same time. So we don't know where exactly the 2020 value is as compared to the 3.1 Wh/hour in 2016.</t>
  </si>
  <si>
    <t>In our current model, we estimated the carbon footprint of datacenters associated with one hour streamed to be 10 gCO2e. So we can say that it seems we are on the "safe side".</t>
  </si>
  <si>
    <t>Linéaire (avec les données untilisées et donc le temps de visionnage)</t>
  </si>
  <si>
    <t>Impact proportionel à la quantité de données transmises par données mobiles; ATTENTION: La difference est principalement liée à la qualité de la vidéo (en faisant l'hypothèse que le téléjournal est en meilleure qualité)</t>
  </si>
  <si>
    <t>Serveurs incertains (mais ne dominent pas l'impact); Données mobiles variables</t>
  </si>
  <si>
    <r>
      <t xml:space="preserve">Video, </t>
    </r>
    <r>
      <rPr>
        <b/>
        <sz val="11"/>
        <color theme="1"/>
        <rFont val="Calibri (Corps)"/>
      </rPr>
      <t xml:space="preserve">live, </t>
    </r>
    <r>
      <rPr>
        <b/>
        <sz val="11"/>
        <color theme="1"/>
        <rFont val="Calibri"/>
        <family val="2"/>
        <scheme val="minor"/>
      </rPr>
      <t>smartphone, téléjournal, SD, 1 h</t>
    </r>
  </si>
  <si>
    <r>
      <t xml:space="preserve">Video, </t>
    </r>
    <r>
      <rPr>
        <b/>
        <sz val="11"/>
        <color theme="1"/>
        <rFont val="Calibri (Corps)"/>
      </rPr>
      <t>live</t>
    </r>
    <r>
      <rPr>
        <b/>
        <sz val="11"/>
        <color theme="1"/>
        <rFont val="Calibri"/>
        <family val="2"/>
        <scheme val="minor"/>
      </rPr>
      <t>, laptop, téléjournal, HD, 1 h</t>
    </r>
  </si>
  <si>
    <t>Video, streaming (replay), laptop, téléjournal, HD, 1 h</t>
  </si>
  <si>
    <t>Video, streaming, laptop, youtube, LD, 1 h</t>
  </si>
  <si>
    <t>Video, streaming, smartphone, LD, 1 h</t>
  </si>
  <si>
    <t>Ordi+wifi (1h) + ADSL (données); 200 Mo/h (hypothèse). Note: 85 Mo/h en 144p, 180 Mo/h en 480p, 500 Mo/h en 1080p (HD) (measures Quantis avec Carbonalyser). Data center (par utilisateur.heure de visionnage). Facteur 4 pris en compte pour redondance et backup.</t>
  </si>
  <si>
    <t>Smartphone (1h); Données mobiles; Hypothèse: 200 Mo/h; Data center pour un service de video</t>
  </si>
  <si>
    <t>Smartphone (1h); données mobiles; Hypothèse: 700 Mo/h; Data center pour 700 Mo/h (Stockage à long terme non compté car alloué au replay et non au streaming "live"). Serveur hébergement considéré pour satisfaire 1000 utilisations en même temps (mais que 1 h par jour).  Pas de redondance et backup considéré car live.</t>
  </si>
  <si>
    <t>Impact écran (ici 100 W) et ADSL (ici 1 Go/h) equivalents</t>
  </si>
  <si>
    <t>Presque linéaire (avec le temps de visonnage)</t>
  </si>
  <si>
    <t>Transmission des données approximée avec l'ADSL; (Fournisseur de l'emission)</t>
  </si>
  <si>
    <t>Video, live, réseau TV, 1 h</t>
  </si>
  <si>
    <t>Recherche, moteur de recherche, laptop, 100 recherches, 1 h</t>
  </si>
  <si>
    <t>Mesure Quantis (carbonalyzer) : Avec Google: 5 min/10 recherches; 70 Mo/10 recherches; 75 Mo/10 recherches (avec click sur le lien); 37 Mo/10 recherches (sans click sur le lien); Avec Ecosia: 5 min/10 recherches; 20 Mo/10 recherches; 75 Mo/10 recherches (avec click sur le lien); 25 Mo/10 recherches (sans click sur le lien) --&gt; Recherche sans le click 400 Mo / 100 recherches et environ 1 heure.
Ordi+Wifi (temps) + ADSL+Datacenter (data). Facteur 4 pour redondance (x2) et backup (x2) pris en compte.</t>
  </si>
  <si>
    <t>Impact ordi+wifi et transmission de données similaires; Impact serveurs plus bas (mais incertains)</t>
  </si>
  <si>
    <t>Presque linéaire (avec temps et données et donc au nombre de recherches)</t>
  </si>
  <si>
    <t>5 min (ordi+wifi) + 20 Mo (ADSL+Datacenter) (mesure Quantis). Facteur 4 pour redondance (x2) et backup (x2) pris en compte</t>
  </si>
  <si>
    <t>Impact ordi, wifi et ADSL équivalents, site web semble plus bas (mais incertain)</t>
  </si>
  <si>
    <t>Linéaire (au temps et données transmises, donc au nombre de paiement)</t>
  </si>
  <si>
    <t xml:space="preserve">Modélisation du site web bancaire incertaine. </t>
  </si>
  <si>
    <t>Smartphone (1 h); Données mobiles; Hypothèse: 100 Mo/h pour le streaming de musique; Data center par heure.utilisateur (potentiellement surestimé car data center pour video)</t>
  </si>
  <si>
    <t>Modélisation des serveurs incertaine (mais probablement surestimée car approximée avec des serveurs pour videos)</t>
  </si>
  <si>
    <t>Presque linéaire (avec le temps d'écoute et la quantité de données (et donc le temps d'écoute))</t>
  </si>
  <si>
    <t>Linéaire (avec le temps d'écoute)</t>
  </si>
  <si>
    <t>Impact dominé par le temps d'utilisation de l'ordi et wifi, et ensuite ADSL et serveurs. Le "live" a moins d'impact que le "replay" car on alloue le stockage de l'info sur les serveurs au replay</t>
  </si>
  <si>
    <t>Ordi+Wifi (1h) + ADSL 90 Mo/h (mesure Quantis RTS couleur 3, avec Carbonalyser, mesures semblent plus bas que 90 Mo/h mais à confirmer); Data center aapproximé avec ceux pour la video (par h de visonnage.utilisateur)</t>
  </si>
  <si>
    <t>Impact dominé par le temps d'utilisation de l'ordi et wifi, et des serveurs (mais approximés avec ceux pour la video, donc probablement surévalués), et ensuite ADSL. Le "live" a moins d'impact que le "replay" car on alloue le stockage de l'info sur les serveurs au replay</t>
  </si>
  <si>
    <t>Ordi+Wifi (1h) + ADSL 90 Mo/h (mesure Quantis RTS couleur 3, avec Carbonalyser). (Stockage à long terme non compté car alloué au replay et non au streaming "live"). Serveur hébergement considéré pour satisfaire 80'000 visites/mois. Pas de redondance et backup considéré car live.</t>
  </si>
  <si>
    <t>Pas vraiment linéaire (plus on écoute le même CD et/ou plus on utilise son CD player, moins il y a d'impact par heure d'écoute; pour une très grande écoute, on arrive à 4 g CO2e/h)</t>
  </si>
  <si>
    <t>Actions supprimées:</t>
  </si>
  <si>
    <t>Cigarette: Considérée comme non pertinente pour la comparaison</t>
  </si>
  <si>
    <t>Impact dominé par la fabrication des chaussures</t>
  </si>
  <si>
    <t>Impact dominé par la fabrication des chaussures. Hypothèse que les 2 paires en trop sont détruites! Et hypothèse qu'il n'y a pas besoin d'avion (hypothèse discutable).</t>
  </si>
  <si>
    <t>Impact dominé par la fabrication des chaussures. Hypothèse qu'il n'y a pas besoin d'avion (hypothèse discutable).</t>
  </si>
  <si>
    <t>Impact dominé par la consommation électrique des serveurs pour l'hébergement</t>
  </si>
  <si>
    <t>visite</t>
  </si>
  <si>
    <t>Hypothesis: Hosting: 1 server can handle 80'000 visits/month and one needs a website able to handle 1'000'000 visits/month = 12'000'000 visits/yr; Storage: Website size of 40 To (hypothesis). The correction factor of 4 for redudancy (x2) and backup (x2) is applied.</t>
  </si>
  <si>
    <t>Modèle OEFSR Retail (production et fin de vie d'une paire de chaussures); Distribution (transport total usine-magasin, centre de distribution, livraison) basée sur PEF method 2019  (1 kg total, 10 L volume); hypothèse d'un achat de 20 minutes (Ordi+wifi) et 100 Mo (ADSL) et site web (1 visite)</t>
  </si>
  <si>
    <t>Bonne (pour autant qu'il soit confirmé que les chaussures ne sont pas transportées en avion)</t>
  </si>
  <si>
    <t>+/- 50% (pour autant qu'il soit confirmé que les chaussures ne sont pas transportées en avion)</t>
  </si>
  <si>
    <t xml:space="preserve">Modèle OEFSR Retail (production et fin de vie d'une paire de chaussures); Distribution (transport total usine-magasin, centre de distribution, livraison) basée sur PEF method 2019  (1 kg total, 10 L volume); hypothèse d'un achat de 20 minutes (Ordi+wifi) et 100 Mo (ADSL) et site web (une visite) par paire; trois fois. </t>
  </si>
  <si>
    <t>Modélisation des chaussures</t>
  </si>
  <si>
    <r>
      <t xml:space="preserve">Modélisation des chaussures. Modélisation du site web incertaine (mais très faible); Distribution incertaine (y aurait-il de l'avion?); </t>
    </r>
    <r>
      <rPr>
        <b/>
        <sz val="11"/>
        <color theme="1"/>
        <rFont val="Calibri (Corps)"/>
      </rPr>
      <t>Devenir des paires renvoyées</t>
    </r>
  </si>
  <si>
    <t>Modélisation des chaussures. Modélisation du site web incertaine (mais très faible); Distribution incertaine (y aurait-il de l'avion?)</t>
  </si>
  <si>
    <t>Pizza: Considérée comme non pertinente dans le contexte actuel (il y a l'action de l'achat des chaussures dans la même idée pour les comparaisons)</t>
  </si>
  <si>
    <t>Impact dominé par la consommation des serveurs pour l'hébergement puis pour le stockage (4.2 serveurs hébergement pour 1 serveur stockage). serveur hébergement = 1700 kWh/an *1.8 (PUE); serveur stockage (40 To) = 3200 kWh/an * 1.8 (PUE)</t>
  </si>
  <si>
    <t>Hypothesis: Online storage consideres a storage of 10 Go per user which is accessed 1'000 times per year. So for a server able to store 40 To and therefore the need for 4'000 users, one needs 4'000 * 1000 access per y = 4'000'000 access per year. Considering that 1 hosting server can manage 80'000 acccess/mnonth, one needs 4.2 hosting servers to manage 4'000'000 access per year which go with one server storing 40 To. A factor 4 is applied to account for redundancy (x2) and backup (x2).</t>
  </si>
  <si>
    <t>Moyenne (impact dominé par la consommation de l'ordi et du relais wifi à la maison, fonction du temps de rédaction, ainsi que le stockage de l'email (et donc sa taille))</t>
  </si>
  <si>
    <t>+/- facteur 3</t>
  </si>
  <si>
    <t>Pièce jointe 1 Mo, poids de l'email sans pièce jointe environ 50 ko, un seul destinataire. Hypothèse de rédaction sur ordinateur, 5 minutes de rédaction et 2 minute de lecture. Ordi+Wifi (temps) et ADSL (taille). Email stocké sur un serveur pendant 5 ans</t>
  </si>
  <si>
    <t>Linéaire (avec le nombre d'emails et la taille - car avec le temps de rédation et la taille de l'email)</t>
  </si>
  <si>
    <t>Linéaire (avec le temps de rédation et la taille de l'email)</t>
  </si>
  <si>
    <t>Moyenne (impact dominé par la consommation de l'ordi et du relais wifi à la maison, fonction du temps de rédaction et donc du nombre d'emails, ainsi que le stockage des emails (et donc leur taille et donc leur nombre))</t>
  </si>
  <si>
    <t>Poids emails : 90% des emails sont à 50 ko - 10% des emails sont à 5 Mo; Hypothèse : 5 minutes de rédaction et 2 minutes de lecture sur ordinateur par mail. Ordi+wifi (temps), ADSL (taille). 5 ans de stockage sur le cloud; Taille logo : 12 ko</t>
  </si>
  <si>
    <t>Poids emails : 90% des emails sont à 50 ko - 10% des emails sont à 5 Mo; Hypothèse : 5 minutes de rédaction et 2 minutes de lecture sur ordinateur par mail. Ordi+wifi (temps), ADSL (taille). 5 ans de stockage sur le cloud.</t>
  </si>
  <si>
    <t>Appel, telephone portable, 1 h</t>
  </si>
  <si>
    <t>Appel, telephone portable, whatsapp, 1 h</t>
  </si>
  <si>
    <t>Appel, telephone fixe, 1 h</t>
  </si>
  <si>
    <t>2 personnes se parlent,  Hypothèse: 100 kbps** pour 1 h (une fois pour les deux personnes) par données mobiles; une fois Datacenter **source https://support.skype.com/en/faq/FA1417/how-much-bandwidth-does-skype-need?q=bandwidth</t>
  </si>
  <si>
    <t>Modélisation du service pour les téléphones fixes</t>
  </si>
  <si>
    <t>Impact dominé par l'amortissement du téléphone (et donc 1 heure de plus ne va pas "raccourcir" la durée de vie du téléphone de 1 heure). ATTENTION: Ne pas comparer "Appel, telephone fixe" avec "Appel, telephone portable" car basés sur la même modélisation</t>
  </si>
  <si>
    <t>Moyennement linéaire (seule une partie de l'impact double avec le doublement du temps)</t>
  </si>
  <si>
    <t>Presque linéaire (impacts liés à la quantitié de données transmises et, en partie, à l'utilisation du téléphone)</t>
  </si>
  <si>
    <t>Impact dominé par la quantité de données transmises ainsi qu'à l'amortissement du téléphone (qui lui de double pas avec un doublement du temps de téléphone)</t>
  </si>
  <si>
    <t>Presque linéaire (avec la taille des messages et le temps d'écoute)</t>
  </si>
  <si>
    <t xml:space="preserve">Impact dominé par la transmission de données (et donc la taille/longeur des messages) et par l'amortissement du téléphone </t>
  </si>
  <si>
    <t>Différence avec et sans émojis pour les messages</t>
  </si>
  <si>
    <t>Message texte, en ligne, 1 message</t>
  </si>
  <si>
    <t>tranmission données mobiles; taille d'un message : 40 caractères, caractères à 7 bits = 7/8 octet/caractère -&gt; 35 octets/message; Hypothèse de 2 minutes par message par utilisateur (lecture et rédaction); 2 utilisateurs; Datacenter</t>
  </si>
  <si>
    <t>Impact dominé par l'utilisation du smartphone, qui est dominé par l'amortissement du smartphone</t>
  </si>
  <si>
    <t>Moyennement linéaire (impact dominé par l'amortissement du smartphon - qui lui ne double pas avec un doublement du temps d'utilisation)</t>
  </si>
  <si>
    <t>Sans vidéo, ça reste l'utilisation de l'ordinateur qui domine l'impact.</t>
  </si>
  <si>
    <t>Note: UVEK dataset pour videoconference donne 48 gCO2e/h/participant avec du mix CH --&gt; donc avec du mix ENTSO on aurait environ 80-90 gCO2e/h/participant, ce qui donne environ 160-180 gCOe/h pour 2 personnes, ce qui le double de nos résultats.</t>
  </si>
  <si>
    <t>Différence FM et DAB+ pour la radio</t>
  </si>
  <si>
    <t>Impact dominé par la consommation de la radio (robuste), la fabrication de la radio (incertaine), et ensuite par la transmission de l'information (très incertaine)</t>
  </si>
  <si>
    <t>Diffusion; (fabrication de la radio)</t>
  </si>
  <si>
    <t>Impact dominé par l'utilisation de l'ordinateur, et ensuite l'amortissement de l'ordi et du CD de manière equivalente</t>
  </si>
  <si>
    <t>Poids d'un jeu vidéo 40 Go, téléchargé et supposé stocké en mémoire locale; On suppose que le joueur jouera 220 heures (statistique jeuxvideos.com); Ordi (1 h), Wifi+ADSL (40 Go pour 220 heures de jeu); Stockage cloud pour 4 ans et 1000 utilisateurs (hypothèse)</t>
  </si>
  <si>
    <t>Seulement moitié de l'impact est fonction de l'heure de jeu; plus on joue au même jeu, moins il y a d'impact par heure</t>
  </si>
  <si>
    <t>Impact ADSL incertain; (Utilisation des serveurs incertaine)</t>
  </si>
  <si>
    <t>Poids d'un jeu vidéo 40 Go, téléchargé et supposé stocké en mémoire locale; On suppose que le joueur jouera 220 heures (statistique jeuxvideos.com); hypothèse de transmission de 2000 Mo par heure de jeu; Ordi (1 h), Wifi+ADSL (40 Go pour 220 heures de jeu), Wifi+ADSL (1 h pour 1 h de jeu); Stockage cloud pour 4 ans et 1000 utilisateurs (hypothèse). Impact par joueur</t>
  </si>
  <si>
    <t>Impact ADSL incertain; Quantitié de données transmises incertaine; (Utilisation des serveurs incertaine)</t>
  </si>
  <si>
    <t>Impact en fonction de la quantité de données streamées (+ utilisation de l'ordi et wifi). Ici nous supposons de l'ADSL. Mais il y a de forte chance que la personne utilise de la fibre pour une telle quantité de données, et donc que l'impact d'une heure de jeu en ligne soit plus faible que modélisé ici</t>
  </si>
  <si>
    <t>Impact ADSL incertain; (Utilisation des serveurs incertaine); (module réalité virtuelle)</t>
  </si>
  <si>
    <t xml:space="preserve">Presque linéaire </t>
  </si>
  <si>
    <t>Seulement 2/3 de l'impact est fonction de l'heure de jeu; plus on joue au même jeu, moins il y a d'impact par heure</t>
  </si>
  <si>
    <t>Ordi+Wifi (1 h); Mesure Quantis avec Carbonalyser de twitch.tv (view): 60 Mo/min (ADSL + data traitées dans data center) + website (pour 1 visite de 1 h)</t>
  </si>
  <si>
    <t>Impact en fonction de la quantité de données streamées (qui est très grande). Ici nous supposons de l'ADSL. Mais il y a de forte chance que la personne utilise de la fibre pour une telle quantité de données, et donc que l'impact d'une heure de jeu en ligne soit plus faible que modélisé ici</t>
  </si>
  <si>
    <t>Carrot {NL}| carrot production | Cut-off, S</t>
  </si>
  <si>
    <t>Cattle for slaughtering, live weight {GLO}| market for | Cut-off, S</t>
  </si>
  <si>
    <t>Radio, television and communication equipment, EU27 S (from IO EU27)</t>
  </si>
  <si>
    <t>Source: "With over 100 million members around the world streaming more than 125 million hours of Netflix a day" (Source: https://media.netflix.com/en/company-blog/renewable-energy-at-netflix-an-update, for 2016)</t>
  </si>
  <si>
    <t>Retailer activity, excluding losses treatment (ambient product) S (from PEFCR Coffee Screening)</t>
  </si>
  <si>
    <t>Distribution centre activity S (from PEFCR Coffee Screening)</t>
  </si>
  <si>
    <t>Datasets construits:</t>
  </si>
  <si>
    <t>Local hard disk drive data storage during 1 year {FR}| Cut-off, S</t>
  </si>
  <si>
    <t>Impact dominated by use stage (2/3) and production (1/3). Données issues du modèle CLEER (cleermodel.lbl.gov). Smartphone, on mode: offline (3W), online (4.5W)</t>
  </si>
  <si>
    <t>iphone 5 (from Schien et al. 2014), production et fin de vie; Distribution basée sur PEF method 2019 (from Asia, avec packaging: masse = 500 g et volume = 1 L); durée de vie = 36000 heures; mémoire = 60 Go; Consommation: 4.5W (online mode) (note: offline mode would be 3W)</t>
  </si>
  <si>
    <t>iphone 5s, at plant/RER S</t>
  </si>
  <si>
    <t>Only manufacturing. Distribution, Use stage and End-of-life NOT INCLUED. Use stage: 3W offline, 4-5W online (CLEER model - cleermodel.lbl.gov)</t>
  </si>
  <si>
    <t>1 p = 1 cup of 120 ml coffee</t>
  </si>
  <si>
    <t>5.2 kg router, 2 years lifetime, 0.052 kWh/GB, bandwidth 36x1000 GBps</t>
  </si>
  <si>
    <t>iphone 5s, disposal, to WEEE treatment/CH S</t>
  </si>
  <si>
    <t>Data center, video, par h.utilisateur</t>
  </si>
  <si>
    <t>h.utilisateur</t>
  </si>
  <si>
    <t>Communication</t>
  </si>
  <si>
    <t>Loisirs</t>
  </si>
  <si>
    <t>Bureautique</t>
  </si>
  <si>
    <t>Data center (for hosting) rack server BC-1_Materials (for 1 server) {GLO}| market for | Cut-off, S</t>
  </si>
  <si>
    <t>Drip filter coffee life cycle S (from PEFCR Coffee Screening)</t>
  </si>
  <si>
    <t>Edge/metro/long haul transmission network, life cycle /FR (from Schien et al. 2014) S</t>
  </si>
  <si>
    <t>Leather shoes, packaged S (from OEFSR Retail)</t>
  </si>
  <si>
    <t>Leather shoes, product and packaging end-of-life S (from OEFSR Retail)</t>
  </si>
  <si>
    <t>Reproduction of tapes, disks, CD's, cassettes NL S (from IO NL DB)</t>
  </si>
  <si>
    <t>Data center, site web, par visite</t>
  </si>
  <si>
    <t>Message vocal, en ligne, whatsapp, 1 h</t>
  </si>
  <si>
    <t>Impact dominé par la transmission par données mobiles (donc incertitude sur les serveurs - qui sont probablement surestimés ici - est acceptable)</t>
  </si>
  <si>
    <t>Tablette basée sur l'iphone avec comme modifications: 2x plus lourde mais utilisée 6x moins (4h au lieu de 24h par hjour), donc 6000 heures. Consommation 5W (https://www.consoglobe.com/combien-coute-une-heure-ipad-tablette-cg). 
iphone based on. iphone 5 (from Schien et al. 2014) production et fin de vie; Distribution basée sur PEF method 2019 (from Asia, avec packaging: masse = 500 g et volume = 1 L); durée de vie = 36000 heures</t>
  </si>
  <si>
    <t>Impacts dominés par l'amortissement de la tablette (85%) et consommation électrique (155). Si on considère la tablette utilisée 24h par jour (comme le smartphone), alors les impacts de l'amortissement sont divisés par 6</t>
  </si>
  <si>
    <t>Trajet en train: Débat sur la marginalité des transports publics hors scope de ce travail sur le numérique</t>
  </si>
  <si>
    <t>Papier + impression: A4 : 201 x 297 mm, densité papier : 80 g/m2</t>
  </si>
  <si>
    <t>(Durée de vie de l'ordinateur sur laquelle amortir lutilisation)</t>
  </si>
  <si>
    <t>(Déforestation)</t>
  </si>
  <si>
    <t>Site web du journal</t>
  </si>
  <si>
    <t>Transport</t>
  </si>
  <si>
    <t>GB</t>
  </si>
  <si>
    <t>MB</t>
  </si>
  <si>
    <t>Lifetime = 4 years; Electricity consumption (1700 kWh/y per server * PUE of 1.8 = 3060 kWh/y per server) not included</t>
  </si>
  <si>
    <t>Lifetime = 6 years, storage = 40 To; Electricity consumption (3200 kWh/y * PUE of 1.8 = 5760 kWh/y) not included</t>
  </si>
  <si>
    <t>8 serveurs</t>
  </si>
  <si>
    <t>1 serveur</t>
  </si>
  <si>
    <t>m3-semaine</t>
  </si>
  <si>
    <t>un café</t>
  </si>
  <si>
    <t>un téléphone</t>
  </si>
  <si>
    <t>une paire</t>
  </si>
  <si>
    <t>USD</t>
  </si>
  <si>
    <t>Lifetime = 4 years. Electricity consumption (1700 kWh/h * PEU of 1.8 0 = 3060 kWh/h per server (i.e. 24'480 kWh/h for the 8 servers)) not included</t>
  </si>
  <si>
    <t>Lifetime = 4 years. Electricity consumption (1700 kWh/h * PEU of 1.8 = 3060 kWh/h per server) not included</t>
  </si>
  <si>
    <t>Lifetime 6 years, Size 40 TB. Electricity consumption (3200 kWh/h * PUE of 1.8 = 5760 kWh/y) not included</t>
  </si>
  <si>
    <t>1 p = 1 m3-week. Impacts below are given for one distribution centre during one year. A distribution centre can store 60’000 m3 of products (assuming 50% of 30’000 m2 building is dedicated to storage on 4 m high) during 52 weeks, i.e., 3'120’000 m3-weeks/year in total. It is assumed 20% of the area is chilled or frozen, i.e., 12'000 m3 or 624'000 m3-week/year. Therefore, for ambient storage, the capacity if of 2'496'000 m3-week/year. This storage capacity can be allocated knowing the following storage volumes and times (corresponding to assumptions): 
- For ambient products: consider 4 times the volume to be stored during four weeks 
- For chilled products: consider 3 times the volume to be stored during one week
- For frozen products: consider 2 times the volume to be stored during four weeks</t>
  </si>
  <si>
    <t>1 p = 1 m3-week. Impacts below are given for one supermarket during one year and are modelled according with PEF/OEF default data and assumptions draft document. A retail place can store 2’000 m3 of products (50% of 2’000 m2 building, storage on 2 m high) during 52 weeks, i.e., 104’000 m3-weeks/year in total. 60 m2 fridge and 60 m2 freezers (of 2 m high) is considered, therefore the capacity is 91'520 m3-week for ambient products and 6240 m3-week for chilled or 6240 m3-week for frozen products. 
This total storage capacity can be allocated per product knowing the following storage volumes and times (assumptions): 
- For ambient products: consider 4 times the volume to be stored during four weeks 
- For chilled products: consider 3 times the volume to be stored during two weeks 
- For frozen products: consider 2 times the volume to be stored during four weeks</t>
  </si>
  <si>
    <t>Puissance RTC : 2.1 W, source ARCEP (https://www.arcep.fr/uploads/tx_gspublication/reseaux-du-futur-empreinte-carbone-numerique-juillet2019.pdf)</t>
  </si>
  <si>
    <t>5-20</t>
  </si>
  <si>
    <t>20-40</t>
  </si>
  <si>
    <t>40-100</t>
  </si>
  <si>
    <t>5-15</t>
  </si>
  <si>
    <t>8-10</t>
  </si>
  <si>
    <t>600000-900000</t>
  </si>
  <si>
    <t>9-16</t>
  </si>
  <si>
    <t>0.8-1.6</t>
  </si>
  <si>
    <t>600-1100</t>
  </si>
  <si>
    <t>2000000-3000000</t>
  </si>
  <si>
    <t>300000-700000</t>
  </si>
  <si>
    <t>70-160</t>
  </si>
  <si>
    <t>50-80</t>
  </si>
  <si>
    <t>60-120</t>
  </si>
  <si>
    <t>300-500</t>
  </si>
  <si>
    <t>100-200</t>
  </si>
  <si>
    <t>260-500</t>
  </si>
  <si>
    <t>2-7</t>
  </si>
  <si>
    <t>30-100</t>
  </si>
  <si>
    <t>30-90</t>
  </si>
  <si>
    <t>10000-35000</t>
  </si>
  <si>
    <t>30000-100000</t>
  </si>
  <si>
    <t>10000-30000</t>
  </si>
  <si>
    <t>25-75</t>
  </si>
  <si>
    <t>4-12</t>
  </si>
  <si>
    <t>10-40</t>
  </si>
  <si>
    <t>20-70</t>
  </si>
  <si>
    <t>30-80</t>
  </si>
  <si>
    <t>60-180</t>
  </si>
  <si>
    <t>60-200</t>
  </si>
  <si>
    <t>140-400</t>
  </si>
  <si>
    <t>4000-15000</t>
  </si>
  <si>
    <t>40-180</t>
  </si>
  <si>
    <t>10-50</t>
  </si>
  <si>
    <t>500-2000</t>
  </si>
  <si>
    <t>13000-55000</t>
  </si>
  <si>
    <t>150-600</t>
  </si>
  <si>
    <t>4-17</t>
  </si>
  <si>
    <t>30-150</t>
  </si>
  <si>
    <t>125-500</t>
  </si>
  <si>
    <t>50-200</t>
  </si>
  <si>
    <t>30-130</t>
  </si>
  <si>
    <t>15-70</t>
  </si>
  <si>
    <t>800-12000</t>
  </si>
  <si>
    <t>600-10000</t>
  </si>
  <si>
    <t>500-10000</t>
  </si>
  <si>
    <t>0.008-0.010</t>
  </si>
  <si>
    <t>0.05-0.08</t>
  </si>
  <si>
    <t>550-800</t>
  </si>
  <si>
    <t>0.005-0.009</t>
  </si>
  <si>
    <t>0.01-0.02</t>
  </si>
  <si>
    <t>0.04-0.08</t>
  </si>
  <si>
    <t>0.001-0.002</t>
  </si>
  <si>
    <t>0.09-0.16</t>
  </si>
  <si>
    <t>0.07-0.13</t>
  </si>
  <si>
    <t>0.36-0.67</t>
  </si>
  <si>
    <t>3000-5500</t>
  </si>
  <si>
    <t>550-1000</t>
  </si>
  <si>
    <t>0.22-0.42</t>
  </si>
  <si>
    <t>0.05-0.12</t>
  </si>
  <si>
    <t>0.03-0.08</t>
  </si>
  <si>
    <t>0.002-0.005</t>
  </si>
  <si>
    <t>0.02-0.07</t>
  </si>
  <si>
    <t>0.02-0.06</t>
  </si>
  <si>
    <t>6-18</t>
  </si>
  <si>
    <t>15-50</t>
  </si>
  <si>
    <t>0.02-0.05</t>
  </si>
  <si>
    <t>0.003-0.008</t>
  </si>
  <si>
    <t>0.01-0.03</t>
  </si>
  <si>
    <t>0.05-0.14</t>
  </si>
  <si>
    <t>0.05-0.15</t>
  </si>
  <si>
    <t>0.12-0.36</t>
  </si>
  <si>
    <t>0.06-0.17</t>
  </si>
  <si>
    <t>0.004-0.016</t>
  </si>
  <si>
    <t>3-11</t>
  </si>
  <si>
    <t>0.04-0.18</t>
  </si>
  <si>
    <t>0.01-0.05</t>
  </si>
  <si>
    <t>0.12-0.50</t>
  </si>
  <si>
    <t>7-30</t>
  </si>
  <si>
    <t>0.08-0.32</t>
  </si>
  <si>
    <t>0.005-0.020</t>
  </si>
  <si>
    <t>0.03-0.15</t>
  </si>
  <si>
    <t>0.1-0.4</t>
  </si>
  <si>
    <t>0.04-0.15</t>
  </si>
  <si>
    <t>0.02-0.10</t>
  </si>
  <si>
    <t>0.015-0.060</t>
  </si>
  <si>
    <t>0.5-15</t>
  </si>
  <si>
    <t>0.5-10</t>
  </si>
  <si>
    <t>0.6-12</t>
  </si>
  <si>
    <t>min</t>
  </si>
  <si>
    <t>max</t>
  </si>
  <si>
    <t>0.006-0.017</t>
  </si>
  <si>
    <t>0.01-0.04</t>
  </si>
  <si>
    <t>0.06-0.18</t>
  </si>
  <si>
    <t>0.007-0.027</t>
  </si>
  <si>
    <t>0.005-0.018</t>
  </si>
  <si>
    <t>0.0001-0.0005</t>
  </si>
  <si>
    <t>0.006-0.025</t>
  </si>
  <si>
    <t>0.07-0.30</t>
  </si>
  <si>
    <t>0.08-0.70</t>
  </si>
  <si>
    <t>0.1-1</t>
  </si>
  <si>
    <t>0.01-0.1</t>
  </si>
  <si>
    <t>0.01-0.2</t>
  </si>
  <si>
    <t>0.14-14</t>
  </si>
  <si>
    <t>7-21</t>
  </si>
  <si>
    <t>20-50</t>
  </si>
  <si>
    <t>20-60</t>
  </si>
  <si>
    <t>7-27</t>
  </si>
  <si>
    <t>6-24</t>
  </si>
  <si>
    <t>0.1-0.7</t>
  </si>
  <si>
    <t>10-30</t>
  </si>
  <si>
    <t>90-360</t>
  </si>
  <si>
    <t>100-800</t>
  </si>
  <si>
    <t>100-1000</t>
  </si>
  <si>
    <t>10-100</t>
  </si>
  <si>
    <t>10-250</t>
  </si>
  <si>
    <t>100-10000</t>
  </si>
  <si>
    <t>Liste de gestes (appelés "actions") du quotidien évalués - Version PUBLIABLE avec mention "non comparable"</t>
  </si>
  <si>
    <t>Liste de gestes (appelés "actions") du quotidien évalués - Pour information mais à éviter de comparer à des gestes similaires</t>
  </si>
  <si>
    <t>Liste de gestes (appelés "actions") du quotidien évalués - Version PUBLIABLE</t>
  </si>
  <si>
    <t>Fehlerabweichung CO2</t>
  </si>
  <si>
    <t>co2 in g</t>
  </si>
  <si>
    <t>CO2 en g</t>
  </si>
  <si>
    <t>Autres infos utiles:</t>
  </si>
  <si>
    <t>Energie pour recharger un smartphone: 15 Wh (Source: Carbonalyzer)</t>
  </si>
  <si>
    <t>Flat screen SAMSING 66 cm: 53 W</t>
  </si>
  <si>
    <t>Skype enterprise: 100 Mo/h (sent+recieved)</t>
  </si>
  <si>
    <t>On pourrait considérer que beaucoup de gens laissent le wifi branché toute la journée mais ceci que pour une utilisation de, par exemple, 12 heures par jour en moyenne et donc que pour chaque heure utilisée on peut allouer l'autre heure inutilisée: ceci doublerait l'impact du wifi par heure d'utilisation effective pour les gens n'éteignant pas leur wifi quand il est inutilisé (p.ex. nuit ou vacances). Pour le wifi: l'impact est uniquement pour la partie "wifi, relais à la maison", et cet impact doit donc être ajouté à la technologie utilisée pour amener lées données à éla maison (p.ex fibre ou ADSL).</t>
  </si>
  <si>
    <t>Valable pour un "wifi" maison" utilisé à pleine puissance. Pour le wifi: l'impact est uniquement pour la partie "wifi, relais à la maison", et cet impact doit donc être ajouté à la technologie utilisée pour amener lées données à éla maison (p.ex fibre ou ADSL).</t>
  </si>
  <si>
    <t>Limites pour rester durable:</t>
  </si>
  <si>
    <t>Empreinte carbone:</t>
  </si>
  <si>
    <t>Empreinte carbone moyenne Suisse actuelle: 14'000 kg CO2e/personne/an (Source: BAFU, https://www.bafu.admin.ch/bafu/fr/home/themes/climat/en-bref.html#-1333200555)</t>
  </si>
  <si>
    <t>Empreinte carbone moyenne Suisse pour être durable: 600 kg CO2e/personne/an (Source: BAFU, https://www.bafu.admin.ch/bafu/fr/home/themes/climat/en-bref.html#-1333200555)</t>
  </si>
  <si>
    <t>Ecoscore:</t>
  </si>
  <si>
    <t>Ecoscore moyen Suisse actuelle: 23.4E+6 UBP/personne/an (Source: BAFU; with import-export; https://www.bafu.admin.ch/bafu/fr/home/themes/economie-consommation/publications-etudes/publications/empreintes-environnementales-de-la-suisse.html)</t>
  </si>
  <si>
    <t>Ecoscore moyen Suisse pour être durable: 7.8E+6 UBP/personne/an (Source: BAFU; with import-export; https://www.bafu.admin.ch/bafu/fr/home/themes/economie-consommation/publications-etudes/publications/empreintes-environnementales-de-la-suisse.html)</t>
  </si>
  <si>
    <t>460 UBP per gram CO2-equivalent (Source: swiss_eco-factors2013accordingtotheecologicalscarcitymethod.pdf &amp; Simapro Methods)</t>
  </si>
  <si>
    <t>Ecoscore (UCE)</t>
  </si>
  <si>
    <t>Fehlerabweichung UCE</t>
  </si>
  <si>
    <t>Min UCE</t>
  </si>
  <si>
    <t>Max UCE</t>
  </si>
  <si>
    <t>Footprint calculator</t>
  </si>
  <si>
    <t>Suites potentielles:</t>
  </si>
  <si>
    <t>·       https://www.bafu.admin.ch/bafu/fr/home/themes/economie-consommation/publications-etudes/publications/empreintes-environnementales-de-la-suisse.html</t>
  </si>
  <si>
    <t>·       https://www.bfs.admin.ch/bfs/fr/home/statistiques/developpement-durable/autres-indicateurs-developpement-durable/empreinte-ecologique.html</t>
  </si>
  <si>
    <t>L'impact actuel et les limites pour être durable, pour la Suisse, sont les suivants:</t>
  </si>
  <si>
    <t>UCE limite par personne et par année (pour être durable)</t>
  </si>
  <si>
    <t>UCE limite par personne et par jour (pour être durable)</t>
  </si>
  <si>
    <t>kg CO2e limite par personne et par année (pour être durable)</t>
  </si>
  <si>
    <t>kg CO2e par personne et par jour (2015)</t>
  </si>
  <si>
    <t>UCE par personne et par jour (2015)</t>
  </si>
  <si>
    <t>UCE par personne et par année (2015)</t>
  </si>
  <si>
    <t>kg CO2e par personne et par année (2015)</t>
  </si>
  <si>
    <t>kg CO2e limite par personne et par jour (pour être durable)</t>
  </si>
  <si>
    <t>Prenons pour exemple un ménage de 4 personnes regardant un film Netflix (de 2 h, en SD, sur l'écran TV):</t>
  </si>
  <si>
    <t>Impact du film:</t>
  </si>
  <si>
    <t>car 4 personnes</t>
  </si>
  <si>
    <t>Le film represente donc:</t>
  </si>
  <si>
    <t>de l'impact quotidien du ménage, aux conditions actuelles</t>
  </si>
  <si>
    <t>de l'impact quotidien du ménage, s'il voulait rester dans les limites de la duabilité</t>
  </si>
  <si>
    <t>Cet exemple illustre une manière d'interpréter les résultats.</t>
  </si>
  <si>
    <t>Exemple d'interprétation des résultats (vis-à-vis de la contrainte pour être durable):</t>
  </si>
  <si>
    <t>car 2 heures de film avec un impact de 0.113 kg CO2e/h ou 119 UCE/h (voir résultats par action)</t>
  </si>
  <si>
    <t>Impact total du ménage (actuel), par jour</t>
  </si>
  <si>
    <t>Limite, totale, du ménage (pour être durable), par jour</t>
  </si>
  <si>
    <t>Il est à noter que d'ici 2050, lorsque l'on devrait idealement être durable, le mix électrique moyen aura un impact plus faible qu'actuellement, et donc que l'impact du film - étant dominé par de la consommation électrique - sera probablemment plus faible. On peut donc dire avec confiance que regarder un film en famille représente de l'ordre de 1% de l'impact du quotidien qu'un ménage "peut se permettre".</t>
  </si>
  <si>
    <t xml:space="preserve">Film 1 Std. </t>
  </si>
  <si>
    <t xml:space="preserve">Gain en UCE </t>
  </si>
  <si>
    <t>robuste</t>
  </si>
  <si>
    <t>non comparable</t>
  </si>
  <si>
    <t xml:space="preserve">Robuste ou non comparable </t>
  </si>
  <si>
    <t xml:space="preserve">Utiliser un smartphone 4 ans au lieu de 3 ans </t>
  </si>
  <si>
    <t xml:space="preserve">Eteindre WiFi (et mettre le laptop en standby) entre 24h et 6h </t>
  </si>
  <si>
    <t xml:space="preserve">Ecogestes pendant une année </t>
  </si>
  <si>
    <t xml:space="preserve">mit www.Mobitool.ch ausrechnen </t>
  </si>
  <si>
    <t xml:space="preserve">mit UVEK18 und Durchschnittskonsum pro Person berechnen </t>
  </si>
  <si>
    <t xml:space="preserve">Cloud service pour les photos d'un Rechenzentrum qui consomme peu d'énergie non renouvelable comparé avec un Rechenzentrum peu efficace qui consomme beaucoup d'énergie </t>
  </si>
  <si>
    <t xml:space="preserve">hier Durchschnittskonsum einsetzen (Schwein, Poulet, Rind etc.) </t>
  </si>
  <si>
    <t>1 jour</t>
  </si>
  <si>
    <t xml:space="preserve">par heure </t>
  </si>
  <si>
    <t xml:space="preserve">par seconde </t>
  </si>
  <si>
    <t>1 année</t>
  </si>
  <si>
    <t xml:space="preserve">UCE limite par personne et par année (pour respecter les limites planetaires) </t>
  </si>
  <si>
    <t xml:space="preserve">UCE limite par personne et par semaine (pour respecter les limites planetaires) </t>
  </si>
  <si>
    <t>UCE par personne et par semaine en 2015</t>
  </si>
  <si>
    <t>Mobitool</t>
  </si>
  <si>
    <t>Bahn Schweiz</t>
  </si>
  <si>
    <t>Strommix SBB</t>
  </si>
  <si>
    <t>Fernverkehr</t>
  </si>
  <si>
    <t>pkm</t>
  </si>
  <si>
    <t>Bahn Deutschland</t>
  </si>
  <si>
    <t>Strommix DE &amp; Diesel</t>
  </si>
  <si>
    <t>Durchschnitt Regional-&amp; Fernverkehr</t>
  </si>
  <si>
    <t>Hochgeschwindigkeitszug DE</t>
  </si>
  <si>
    <t>Hochgeschwindigkeitszug (ICE)</t>
  </si>
  <si>
    <t>innerhalb Europa, economy</t>
  </si>
  <si>
    <t>Flug Europa</t>
  </si>
  <si>
    <t>Economy</t>
  </si>
  <si>
    <t xml:space="preserve">mit www.Mobitool.ch ausrechnen (Annahme Bern-Zurich Ap + Zurich Ap.-Brüsssel  = 125 km + 527 km) </t>
  </si>
  <si>
    <t>Videoconference 1h</t>
  </si>
  <si>
    <t>Summe UBP</t>
  </si>
  <si>
    <t xml:space="preserve">Utiliser un laptop 7 ans au lieu de 6 ans </t>
  </si>
  <si>
    <t>Laptop computer, at plant/GLO S</t>
  </si>
  <si>
    <r>
      <t>Remplacer 2 réunions par mois par une vidéoconférance au lieu de se deplacer entre Lausanne et Berne (</t>
    </r>
    <r>
      <rPr>
        <sz val="11"/>
        <color theme="4"/>
        <rFont val="Calibri (Corps)"/>
      </rPr>
      <t>2x1</t>
    </r>
    <r>
      <rPr>
        <sz val="11"/>
        <color theme="1"/>
        <rFont val="Calibri"/>
        <family val="2"/>
        <scheme val="minor"/>
      </rPr>
      <t xml:space="preserve">00 km) en </t>
    </r>
    <r>
      <rPr>
        <sz val="11"/>
        <color theme="4"/>
        <rFont val="Calibri (Corps)"/>
      </rPr>
      <t>voiture</t>
    </r>
    <r>
      <rPr>
        <sz val="11"/>
        <color theme="1"/>
        <rFont val="Calibri"/>
        <family val="2"/>
        <scheme val="minor"/>
      </rPr>
      <t xml:space="preserve"> (1 personne se déplace et 1 sur place9</t>
    </r>
  </si>
  <si>
    <r>
      <t xml:space="preserve">Remplacer un voyage en avion à </t>
    </r>
    <r>
      <rPr>
        <sz val="11"/>
        <color theme="4"/>
        <rFont val="Calibri (Corps)"/>
      </rPr>
      <t>Berlin</t>
    </r>
    <r>
      <rPr>
        <sz val="11"/>
        <color theme="1"/>
        <rFont val="Calibri"/>
        <family val="2"/>
        <scheme val="minor"/>
      </rPr>
      <t xml:space="preserve"> par une vidéoconférence</t>
    </r>
    <r>
      <rPr>
        <sz val="11"/>
        <color theme="4"/>
        <rFont val="Calibri (Corps)"/>
      </rPr>
      <t xml:space="preserve"> (de 4 h, 1 personne se déplace, 1 sur place)</t>
    </r>
  </si>
  <si>
    <r>
      <t xml:space="preserve">Visualiser 100 films en low definition au lieu de high definition </t>
    </r>
    <r>
      <rPr>
        <sz val="11"/>
        <color theme="4"/>
        <rFont val="Calibri (Corps)"/>
      </rPr>
      <t>(sur laptop)</t>
    </r>
  </si>
  <si>
    <r>
      <rPr>
        <sz val="11"/>
        <color theme="1"/>
        <rFont val="Calibri (Corps)"/>
      </rPr>
      <t>Ordinateur</t>
    </r>
    <r>
      <rPr>
        <sz val="11"/>
        <color theme="1"/>
        <rFont val="Calibri"/>
        <family val="2"/>
        <scheme val="minor"/>
      </rPr>
      <t>, fabrication</t>
    </r>
  </si>
  <si>
    <t>pièce</t>
  </si>
  <si>
    <r>
      <t>Visualiser 100 films sur un petit écran (</t>
    </r>
    <r>
      <rPr>
        <sz val="11"/>
        <color theme="4"/>
        <rFont val="Calibri (Corps)"/>
      </rPr>
      <t xml:space="preserve">env. </t>
    </r>
    <r>
      <rPr>
        <sz val="11"/>
        <color theme="1"/>
        <rFont val="Calibri"/>
        <family val="2"/>
        <scheme val="minor"/>
      </rPr>
      <t>30 cm)</t>
    </r>
    <r>
      <rPr>
        <sz val="11"/>
        <color theme="4"/>
        <rFont val="Calibri (Corps)"/>
      </rPr>
      <t>, en SD,</t>
    </r>
    <r>
      <rPr>
        <sz val="11"/>
        <color theme="1"/>
        <rFont val="Calibri"/>
        <family val="2"/>
        <scheme val="minor"/>
      </rPr>
      <t xml:space="preserve"> au lieu d'un grand écran (</t>
    </r>
    <r>
      <rPr>
        <sz val="11"/>
        <color theme="4"/>
        <rFont val="Calibri (Corps)"/>
      </rPr>
      <t>env. 100</t>
    </r>
    <r>
      <rPr>
        <sz val="11"/>
        <color theme="1"/>
        <rFont val="Calibri"/>
        <family val="2"/>
        <scheme val="minor"/>
      </rPr>
      <t xml:space="preserve"> cm)</t>
    </r>
    <r>
      <rPr>
        <sz val="11"/>
        <color theme="4"/>
        <rFont val="Calibri (Corps)"/>
      </rPr>
      <t>, en HD</t>
    </r>
  </si>
  <si>
    <t>electricity, high voltage, production ENTSO, at grid/kWh/ENTSO U</t>
  </si>
  <si>
    <t>electricity, production mix photovoltaic, at plant/kWh/CH U</t>
  </si>
  <si>
    <t>kWh</t>
  </si>
  <si>
    <t>Electricité (moyenne)</t>
  </si>
  <si>
    <t>Electricité (PV)</t>
  </si>
  <si>
    <r>
      <t>Consommer uniquement du courant vert (</t>
    </r>
    <r>
      <rPr>
        <sz val="11"/>
        <color theme="4"/>
        <rFont val="Calibri (Corps)"/>
      </rPr>
      <t>10</t>
    </r>
    <r>
      <rPr>
        <sz val="11"/>
        <color theme="1"/>
        <rFont val="Calibri"/>
        <family val="2"/>
        <scheme val="minor"/>
      </rPr>
      <t xml:space="preserve">0% photovoltaique) dans le ménage </t>
    </r>
    <r>
      <rPr>
        <sz val="11"/>
        <color theme="4"/>
        <rFont val="Calibri (Corps)"/>
      </rPr>
      <t>(4000 kWh/an)</t>
    </r>
  </si>
  <si>
    <t>(Note de Seb: Je n'ai pas regardé ce qu'il y a cidessous et à droite)</t>
  </si>
  <si>
    <r>
      <t xml:space="preserve">Gain en </t>
    </r>
    <r>
      <rPr>
        <sz val="11"/>
        <color theme="4"/>
        <rFont val="Calibri (Corps)"/>
      </rPr>
      <t xml:space="preserve">kg </t>
    </r>
    <r>
      <rPr>
        <sz val="11"/>
        <color theme="1" tint="4.9989318521683403E-2"/>
        <rFont val="Calibri"/>
        <family val="2"/>
        <scheme val="minor"/>
      </rPr>
      <t xml:space="preserve">CO2 éq. </t>
    </r>
  </si>
  <si>
    <r>
      <t>Effacer 100</t>
    </r>
    <r>
      <rPr>
        <sz val="11"/>
        <color theme="4"/>
        <rFont val="Calibri (Corps)"/>
      </rPr>
      <t>0</t>
    </r>
    <r>
      <rPr>
        <sz val="11"/>
        <color theme="1"/>
        <rFont val="Calibri"/>
        <family val="2"/>
        <scheme val="minor"/>
      </rPr>
      <t xml:space="preserve"> E-mails </t>
    </r>
  </si>
  <si>
    <r>
      <t>Effacer 1000 photos stockés dans le cloud qui ne sont plus utiles</t>
    </r>
    <r>
      <rPr>
        <sz val="11"/>
        <color theme="4"/>
        <rFont val="Calibri (Corps)"/>
      </rPr>
      <t xml:space="preserve"> (stockage moyen de 5 ans)</t>
    </r>
  </si>
  <si>
    <r>
      <t>Stocker les 10'000 photos sur un disque dur au lieu de les stocker dans un cloud service</t>
    </r>
    <r>
      <rPr>
        <sz val="11"/>
        <color theme="4"/>
        <rFont val="Calibri (Corps)"/>
      </rPr>
      <t xml:space="preserve"> (stockage moyen de 5 ans)</t>
    </r>
  </si>
  <si>
    <r>
      <t>Manger 1 fois (12</t>
    </r>
    <r>
      <rPr>
        <sz val="11"/>
        <color theme="4"/>
        <rFont val="Calibri (Corps)"/>
      </rPr>
      <t>5</t>
    </r>
    <r>
      <rPr>
        <sz val="11"/>
        <color theme="1"/>
        <rFont val="Calibri"/>
        <family val="2"/>
        <scheme val="minor"/>
      </rPr>
      <t xml:space="preserve"> g) de la </t>
    </r>
    <r>
      <rPr>
        <sz val="11"/>
        <color theme="4"/>
        <rFont val="Calibri (Corps)"/>
      </rPr>
      <t>bonne</t>
    </r>
    <r>
      <rPr>
        <sz val="11"/>
        <color theme="1"/>
        <rFont val="Calibri"/>
        <family val="2"/>
        <scheme val="minor"/>
      </rPr>
      <t xml:space="preserve"> viande </t>
    </r>
    <r>
      <rPr>
        <sz val="11"/>
        <color theme="4"/>
        <rFont val="Calibri (Corps)"/>
      </rPr>
      <t xml:space="preserve">de bœuf </t>
    </r>
    <r>
      <rPr>
        <sz val="11"/>
        <color theme="1"/>
        <rFont val="Calibri"/>
        <family val="2"/>
        <scheme val="minor"/>
      </rPr>
      <t xml:space="preserve">par semaine au lieu de 2 fois </t>
    </r>
  </si>
  <si>
    <t>Boire 1 café au lieu de 2 par jour pendant 1 an</t>
  </si>
  <si>
    <r>
      <t xml:space="preserve">Aller 5 km au travail en vélo au lieu d'aller en voiture (200 jours) </t>
    </r>
    <r>
      <rPr>
        <sz val="11"/>
        <color theme="4"/>
        <rFont val="Calibri (Corps)"/>
      </rPr>
      <t xml:space="preserve">(10 km si aller-retour) </t>
    </r>
    <r>
      <rPr>
        <sz val="11"/>
        <color theme="1"/>
        <rFont val="Calibri"/>
        <family val="2"/>
        <scheme val="minor"/>
      </rPr>
      <t xml:space="preserve">/ ou travailler à la maison 200 jours au lieu d'aller travailler en voiture au bureau à 5 km (10 km si aller-retour) </t>
    </r>
  </si>
  <si>
    <r>
      <t>Acheter un paire de chauss</t>
    </r>
    <r>
      <rPr>
        <sz val="11"/>
        <color theme="4"/>
        <rFont val="Calibri (Corps)"/>
      </rPr>
      <t>u</t>
    </r>
    <r>
      <rPr>
        <sz val="11"/>
        <color theme="1"/>
        <rFont val="Calibri"/>
        <family val="2"/>
        <scheme val="minor"/>
      </rPr>
      <t xml:space="preserve">res de moins par an </t>
    </r>
    <r>
      <rPr>
        <sz val="11"/>
        <color theme="4"/>
        <rFont val="Calibri (Corps)"/>
      </rPr>
      <t>(en utilisant mieux les autres chaussures)</t>
    </r>
  </si>
  <si>
    <t>29 avril 2020</t>
  </si>
  <si>
    <t>Version 1.3</t>
  </si>
  <si>
    <t>Travail à la maison au lieu d'aller au bureau, 1 jour par semaine (économie 2 x 40 km/j pour 46 semaines/an)</t>
  </si>
  <si>
    <t xml:space="preserve">Gain en kg CO2 éq. </t>
  </si>
  <si>
    <t>Visualiser 100 films en low definition au lieu de high definition (sur laptop)</t>
  </si>
  <si>
    <t>Visualiser 100 films sur un petit écran (env. 30 cm), en SD, au lieu d'un grand écran (env. 100 cm), en HD</t>
  </si>
  <si>
    <t xml:space="preserve">Manger 1 fois (125 g) de la bonne viande de bœuf par semaine au lieu de 2 fois </t>
  </si>
  <si>
    <t>Acheter un paire de chaussures de moins par an (en achetant de la qualité et en utilisant mieux les autres chaussures)</t>
  </si>
  <si>
    <t>Remplacer un voyage d'une personne en avion à Berlin par une vidéoconférence de 4 heures</t>
  </si>
  <si>
    <t xml:space="preserve">Utiliser un laptop 5 ans au lieu de 4 ans </t>
  </si>
  <si>
    <t xml:space="preserve">KWh / ménage </t>
  </si>
  <si>
    <t>Aller au travail en vélo 200 jours au lieu d'aller en voiture (2x5km)</t>
  </si>
  <si>
    <t xml:space="preserve">Travailler à la maison 200 jours au lieu d'aller au travail en voiture à 5 km (2x5km) </t>
  </si>
  <si>
    <t xml:space="preserve">UBP die ein Laptop verursacht teilen durch duchschnittliche Lebensdauer. Die in der Studie Coolproducts angegebenen CO2-Emissionen scheinen mir sehr klein zu sein oder hat nicht jeder dritte Europäer einen Laptop und ein Smartphone? </t>
  </si>
  <si>
    <t xml:space="preserve">UBP die ein Smartphone verursacht teilen durch duchschnittliche Lebensdauer? Die in der Studie Coolproducts angegebenen CO2-Emissionen scheinen mir sehr klein zu sein oder hat nicht jeder dritte Europäer einen Laptop und ein Smartphone? </t>
  </si>
  <si>
    <t>Consommer uniquement du courant vert à la maison (100% photovoltaique, 1800 kWh/an/personne)</t>
  </si>
  <si>
    <t>Stocker les 5'000 photos sur un disque dur au lieu de les stocker dans un cloud service (stockage moyen de 5 ans)</t>
  </si>
  <si>
    <t xml:space="preserve">Population Suisse </t>
  </si>
  <si>
    <t xml:space="preserve">UBP par personne en 2015 </t>
  </si>
  <si>
    <t xml:space="preserve">Eteindre le WiFi (et mettre le laptop en standby) entre 24h et 6h </t>
  </si>
  <si>
    <t xml:space="preserve">Liste de toutes les gestes (appelés "actions") du quotidien évalués </t>
  </si>
  <si>
    <t xml:space="preserve">Dans quel cas cela rend la comparaison difficile? </t>
  </si>
  <si>
    <t xml:space="preserve">Je ne comprends pas </t>
  </si>
  <si>
    <r>
      <t xml:space="preserve">Lecture, journal international, </t>
    </r>
    <r>
      <rPr>
        <b/>
        <sz val="11"/>
        <color theme="1" tint="0.34998626667073579"/>
        <rFont val="Calibri (Corps)"/>
      </rPr>
      <t>ordinateur</t>
    </r>
    <r>
      <rPr>
        <b/>
        <sz val="11"/>
        <color theme="1" tint="0.34998626667073579"/>
        <rFont val="Calibri"/>
        <family val="2"/>
        <scheme val="minor"/>
      </rPr>
      <t>, lecture en ligne</t>
    </r>
  </si>
  <si>
    <t xml:space="preserve">Supprimer 10'000 E-mails stockés dans le  cloud </t>
  </si>
  <si>
    <t>Eliminer 20% de ses photos (1000 photos de mauvaise qualité ou redondantes par an) avant de les stocker sur un serveur cloud (stockage moyen de 5 ans)</t>
  </si>
  <si>
    <t>UCE par personne en 2015</t>
  </si>
  <si>
    <t>Remplacer 2 réunions par an par une vidéoconférance au lieu de se deplacer entre Lausanne et Berne (2x100 km) en voiture</t>
  </si>
  <si>
    <t xml:space="preserve">Ecogestes pendant une année (calculs) </t>
  </si>
  <si>
    <t>Unité pour la comparaison: 100km en voiture</t>
  </si>
  <si>
    <t>Unité pour la comparaison: 1 café</t>
  </si>
  <si>
    <t>Unité pour la comparaison: 1km en voiture</t>
  </si>
  <si>
    <t xml:space="preserve"> [nombre d'habitant équivalent] Réduction de l'impact environnemental si tout le monde en Suisse appliquera l'écogeste</t>
  </si>
  <si>
    <t>Unité pour la comparaison: 365 cafés</t>
  </si>
  <si>
    <t>Travail à la maison au lieu d'aller au bureau, 1 jour par semaine (économie 2 x 10 km/jour en voiture pour 46 semaines/an)</t>
  </si>
  <si>
    <t xml:space="preserve">Exemple de lecture: si tout le monde en Suisse efface 1000 E-mails par an stockés dans le cloud, l'on compensera l'impact environnemental d'environ 4000 habitants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</si>
</sst>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00"/>
    <numFmt numFmtId="165" formatCode="0.0E+00"/>
    <numFmt numFmtId="166" formatCode="0E+00"/>
    <numFmt numFmtId="167" formatCode="0.0000"/>
    <numFmt numFmtId="168" formatCode="0.0"/>
    <numFmt numFmtId="169" formatCode="0.0%"/>
  </numFmts>
  <fonts count="51">
    <font>
      <sz val="11"/>
      <color theme="1"/>
      <name val="Calibri"/>
      <family val="2"/>
      <scheme val="minor"/>
    </font>
    <font>
      <b/>
      <sz val="11"/>
      <color theme="1"/>
      <name val="Calibri"/>
      <family val="2"/>
      <scheme val="minor"/>
    </font>
    <font>
      <sz val="9"/>
      <color theme="1"/>
      <name val="Calibri"/>
      <family val="2"/>
      <scheme val="minor"/>
    </font>
    <font>
      <i/>
      <sz val="11"/>
      <color theme="1"/>
      <name val="Calibri"/>
      <family val="2"/>
      <scheme val="minor"/>
    </font>
    <font>
      <sz val="11"/>
      <color theme="1"/>
      <name val="Calibri (Corps)"/>
    </font>
    <font>
      <b/>
      <sz val="18"/>
      <color theme="1"/>
      <name val="Calibri"/>
      <family val="2"/>
      <scheme val="minor"/>
    </font>
    <font>
      <sz val="11"/>
      <color theme="1"/>
      <name val="Arial"/>
      <family val="2"/>
    </font>
    <font>
      <b/>
      <sz val="28"/>
      <color theme="1"/>
      <name val="Arial"/>
      <family val="2"/>
    </font>
    <font>
      <sz val="14"/>
      <color theme="1"/>
      <name val="Arial"/>
      <family val="2"/>
    </font>
    <font>
      <b/>
      <sz val="11"/>
      <color theme="1"/>
      <name val="Arial"/>
      <family val="2"/>
    </font>
    <font>
      <b/>
      <u/>
      <sz val="11"/>
      <color theme="1"/>
      <name val="Calibri"/>
      <family val="2"/>
      <scheme val="minor"/>
    </font>
    <font>
      <b/>
      <sz val="9"/>
      <color theme="1"/>
      <name val="Calibri"/>
      <family val="2"/>
      <scheme val="minor"/>
    </font>
    <font>
      <sz val="11"/>
      <color theme="1"/>
      <name val="Calibri"/>
      <family val="2"/>
    </font>
    <font>
      <sz val="11"/>
      <color rgb="FF000000"/>
      <name val="Calibri"/>
      <family val="2"/>
      <scheme val="minor"/>
    </font>
    <font>
      <sz val="11"/>
      <color theme="0" tint="-0.249977111117893"/>
      <name val="Calibri"/>
      <family val="2"/>
    </font>
    <font>
      <b/>
      <sz val="11"/>
      <color theme="1"/>
      <name val="Calibri"/>
      <family val="2"/>
    </font>
    <font>
      <b/>
      <sz val="11"/>
      <color theme="0" tint="-0.249977111117893"/>
      <name val="Calibri"/>
      <family val="2"/>
    </font>
    <font>
      <b/>
      <sz val="11"/>
      <color theme="1"/>
      <name val="Calibri (Corps)"/>
    </font>
    <font>
      <b/>
      <u/>
      <sz val="11"/>
      <color theme="1"/>
      <name val="Calibri"/>
      <family val="2"/>
    </font>
    <font>
      <sz val="11"/>
      <color theme="0" tint="-0.14999847407452621"/>
      <name val="Calibri"/>
      <family val="2"/>
      <scheme val="minor"/>
    </font>
    <font>
      <b/>
      <i/>
      <sz val="9"/>
      <color theme="0" tint="-0.14999847407452621"/>
      <name val="Calibri"/>
      <family val="2"/>
      <scheme val="minor"/>
    </font>
    <font>
      <i/>
      <sz val="9"/>
      <color theme="0" tint="-0.14999847407452621"/>
      <name val="Calibri"/>
      <family val="2"/>
      <scheme val="minor"/>
    </font>
    <font>
      <b/>
      <sz val="9"/>
      <color theme="0" tint="-0.249977111117893"/>
      <name val="Calibri"/>
      <family val="2"/>
      <scheme val="minor"/>
    </font>
    <font>
      <sz val="9"/>
      <color theme="0" tint="-0.249977111117893"/>
      <name val="Calibri"/>
      <family val="2"/>
      <scheme val="minor"/>
    </font>
    <font>
      <i/>
      <sz val="11"/>
      <color theme="0" tint="-0.249977111117893"/>
      <name val="Calibri"/>
      <family val="2"/>
      <scheme val="minor"/>
    </font>
    <font>
      <b/>
      <i/>
      <sz val="8"/>
      <color theme="0" tint="-0.249977111117893"/>
      <name val="Calibri"/>
      <family val="2"/>
      <scheme val="minor"/>
    </font>
    <font>
      <i/>
      <sz val="8"/>
      <color theme="0" tint="-0.249977111117893"/>
      <name val="Calibri"/>
      <family val="2"/>
      <scheme val="minor"/>
    </font>
    <font>
      <sz val="11"/>
      <color theme="1"/>
      <name val="Calibri"/>
      <family val="2"/>
      <scheme val="minor"/>
    </font>
    <font>
      <sz val="8"/>
      <color theme="1"/>
      <name val="Arial"/>
      <family val="2"/>
    </font>
    <font>
      <u/>
      <sz val="11"/>
      <color theme="10"/>
      <name val="Calibri"/>
      <family val="2"/>
      <scheme val="minor"/>
    </font>
    <font>
      <b/>
      <i/>
      <sz val="11"/>
      <color theme="1"/>
      <name val="Calibri"/>
      <family val="2"/>
      <scheme val="minor"/>
    </font>
    <font>
      <b/>
      <sz val="8"/>
      <color theme="1"/>
      <name val="Arial"/>
      <family val="2"/>
    </font>
    <font>
      <sz val="11"/>
      <color theme="1" tint="4.9989318521683403E-2"/>
      <name val="Calibri"/>
      <family val="2"/>
      <scheme val="minor"/>
    </font>
    <font>
      <b/>
      <sz val="11"/>
      <color theme="1" tint="4.9989318521683403E-2"/>
      <name val="Calibri"/>
      <family val="2"/>
      <scheme val="minor"/>
    </font>
    <font>
      <sz val="10"/>
      <name val="CorporateSBQ-Regular"/>
    </font>
    <font>
      <sz val="10"/>
      <name val="Trebuchet MS"/>
      <family val="2"/>
    </font>
    <font>
      <i/>
      <sz val="10"/>
      <color indexed="23"/>
      <name val="Trebuchet MS"/>
      <family val="2"/>
    </font>
    <font>
      <b/>
      <sz val="10"/>
      <name val="Trebuchet MS"/>
      <family val="2"/>
    </font>
    <font>
      <sz val="10"/>
      <color theme="0"/>
      <name val="Trebuchet MS"/>
      <family val="2"/>
    </font>
    <font>
      <b/>
      <sz val="9"/>
      <color indexed="81"/>
      <name val="Tahoma"/>
      <family val="2"/>
    </font>
    <font>
      <i/>
      <sz val="9"/>
      <color indexed="81"/>
      <name val="Tahoma"/>
      <family val="2"/>
    </font>
    <font>
      <sz val="10"/>
      <color indexed="8"/>
      <name val="Trebuchet MS"/>
      <family val="2"/>
    </font>
    <font>
      <sz val="11"/>
      <color theme="4"/>
      <name val="Calibri (Corps)"/>
    </font>
    <font>
      <sz val="11"/>
      <color theme="4"/>
      <name val="Calibri"/>
      <family val="2"/>
      <scheme val="minor"/>
    </font>
    <font>
      <sz val="11"/>
      <name val="Calibri"/>
      <family val="2"/>
      <scheme val="minor"/>
    </font>
    <font>
      <sz val="11"/>
      <color theme="0" tint="-0.499984740745262"/>
      <name val="Calibri"/>
      <family val="2"/>
      <scheme val="minor"/>
    </font>
    <font>
      <sz val="11"/>
      <color theme="1" tint="0.34998626667073579"/>
      <name val="Calibri"/>
      <family val="2"/>
      <scheme val="minor"/>
    </font>
    <font>
      <b/>
      <sz val="11"/>
      <color theme="1" tint="0.34998626667073579"/>
      <name val="Calibri"/>
      <family val="2"/>
      <scheme val="minor"/>
    </font>
    <font>
      <sz val="9"/>
      <color theme="1" tint="0.34998626667073579"/>
      <name val="Calibri"/>
      <family val="2"/>
      <scheme val="minor"/>
    </font>
    <font>
      <b/>
      <sz val="11"/>
      <color theme="0" tint="-0.499984740745262"/>
      <name val="Calibri"/>
      <family val="2"/>
      <scheme val="minor"/>
    </font>
    <font>
      <b/>
      <sz val="11"/>
      <color theme="1" tint="0.34998626667073579"/>
      <name val="Calibri (Corps)"/>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6"/>
        <bgColor indexed="64"/>
      </patternFill>
    </fill>
    <fill>
      <patternFill patternType="solid">
        <fgColor theme="9"/>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F0"/>
        <bgColor rgb="FF000000"/>
      </patternFill>
    </fill>
    <fill>
      <patternFill patternType="solid">
        <fgColor rgb="FFFFC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27" fillId="0" borderId="0" applyFont="0" applyFill="0" applyBorder="0" applyAlignment="0" applyProtection="0"/>
    <xf numFmtId="0" fontId="29" fillId="0" borderId="0" applyNumberFormat="0" applyFill="0" applyBorder="0" applyAlignment="0" applyProtection="0"/>
    <xf numFmtId="43" fontId="27" fillId="0" borderId="0" applyFont="0" applyFill="0" applyBorder="0" applyAlignment="0" applyProtection="0"/>
    <xf numFmtId="0" fontId="34" fillId="0" borderId="0"/>
  </cellStyleXfs>
  <cellXfs count="304">
    <xf numFmtId="0" fontId="0" fillId="0" borderId="0" xfId="0"/>
    <xf numFmtId="0" fontId="0" fillId="0" borderId="1" xfId="0" applyBorder="1"/>
    <xf numFmtId="0" fontId="6" fillId="2" borderId="0" xfId="0" applyFont="1" applyFill="1" applyBorder="1"/>
    <xf numFmtId="0" fontId="7" fillId="2" borderId="0" xfId="0" applyFont="1" applyFill="1" applyBorder="1" applyAlignment="1">
      <alignment horizontal="center"/>
    </xf>
    <xf numFmtId="0" fontId="8" fillId="2" borderId="0" xfId="0" applyFont="1" applyFill="1" applyBorder="1" applyAlignment="1">
      <alignment horizontal="center"/>
    </xf>
    <xf numFmtId="0" fontId="6" fillId="2" borderId="0" xfId="0" applyFont="1" applyFill="1" applyBorder="1" applyAlignment="1">
      <alignment vertical="center"/>
    </xf>
    <xf numFmtId="15" fontId="6" fillId="2" borderId="0" xfId="0" quotePrefix="1" applyNumberFormat="1" applyFont="1" applyFill="1" applyBorder="1"/>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0" xfId="0" applyFill="1" applyBorder="1"/>
    <xf numFmtId="0" fontId="0" fillId="0" borderId="0" xfId="0" applyBorder="1"/>
    <xf numFmtId="0" fontId="10" fillId="8" borderId="0" xfId="0" applyFont="1" applyFill="1" applyBorder="1" applyAlignment="1">
      <alignment horizontal="left"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164" fontId="11" fillId="0" borderId="1" xfId="0" applyNumberFormat="1" applyFont="1" applyBorder="1" applyAlignment="1">
      <alignment horizontal="left" vertical="center" wrapText="1"/>
    </xf>
    <xf numFmtId="0" fontId="10" fillId="8" borderId="0" xfId="0" applyFont="1" applyFill="1" applyBorder="1" applyAlignment="1">
      <alignment horizontal="left" vertical="center"/>
    </xf>
    <xf numFmtId="0" fontId="0" fillId="8" borderId="0" xfId="0" applyFill="1" applyBorder="1" applyAlignment="1">
      <alignment horizontal="left" vertical="center" wrapText="1"/>
    </xf>
    <xf numFmtId="0" fontId="13" fillId="0" borderId="0" xfId="0" applyFont="1"/>
    <xf numFmtId="0" fontId="12" fillId="0" borderId="1" xfId="0" applyFont="1" applyBorder="1"/>
    <xf numFmtId="0" fontId="12" fillId="0" borderId="1" xfId="0" applyFont="1" applyBorder="1" applyAlignment="1">
      <alignment horizontal="center"/>
    </xf>
    <xf numFmtId="0" fontId="14" fillId="0" borderId="1" xfId="0" applyFont="1" applyBorder="1" applyAlignment="1">
      <alignment horizontal="center"/>
    </xf>
    <xf numFmtId="0" fontId="15" fillId="0" borderId="1" xfId="0" applyFont="1" applyBorder="1"/>
    <xf numFmtId="0" fontId="15" fillId="0" borderId="1" xfId="0" applyFont="1" applyBorder="1" applyAlignment="1">
      <alignment horizontal="center"/>
    </xf>
    <xf numFmtId="0" fontId="16" fillId="0" borderId="1" xfId="0" applyFont="1" applyBorder="1" applyAlignment="1">
      <alignment horizontal="center"/>
    </xf>
    <xf numFmtId="0" fontId="12" fillId="0" borderId="0" xfId="0" applyFont="1" applyBorder="1"/>
    <xf numFmtId="0" fontId="12" fillId="0" borderId="0" xfId="0" applyFont="1" applyBorder="1" applyAlignment="1">
      <alignment horizontal="center"/>
    </xf>
    <xf numFmtId="0" fontId="14" fillId="0" borderId="0" xfId="0" applyFont="1" applyBorder="1" applyAlignment="1">
      <alignment horizontal="center"/>
    </xf>
    <xf numFmtId="0" fontId="12" fillId="8" borderId="0" xfId="0" applyFont="1" applyFill="1" applyBorder="1" applyAlignment="1">
      <alignment horizontal="center"/>
    </xf>
    <xf numFmtId="0" fontId="14" fillId="8" borderId="0" xfId="0" applyFont="1" applyFill="1" applyBorder="1" applyAlignment="1">
      <alignment horizontal="center"/>
    </xf>
    <xf numFmtId="0" fontId="12" fillId="0" borderId="1" xfId="0" applyFont="1" applyFill="1" applyBorder="1" applyAlignment="1">
      <alignment horizontal="left" vertical="top"/>
    </xf>
    <xf numFmtId="0" fontId="12" fillId="0" borderId="1" xfId="0" applyFont="1" applyBorder="1" applyAlignment="1">
      <alignment horizontal="left" vertical="top"/>
    </xf>
    <xf numFmtId="0" fontId="0" fillId="0" borderId="0" xfId="0" applyBorder="1" applyAlignment="1">
      <alignment horizontal="right" wrapText="1"/>
    </xf>
    <xf numFmtId="0" fontId="0" fillId="0" borderId="0" xfId="0" applyBorder="1" applyAlignment="1">
      <alignment horizontal="center" vertical="center" wrapText="1"/>
    </xf>
    <xf numFmtId="1" fontId="0" fillId="0" borderId="0" xfId="0" applyNumberFormat="1" applyBorder="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right" vertical="center"/>
    </xf>
    <xf numFmtId="0" fontId="0" fillId="0" borderId="1" xfId="0" applyBorder="1" applyAlignment="1">
      <alignment horizontal="left" vertical="center"/>
    </xf>
    <xf numFmtId="0" fontId="1" fillId="0" borderId="1" xfId="0" applyFont="1" applyBorder="1" applyAlignment="1">
      <alignment horizontal="left" vertical="top"/>
    </xf>
    <xf numFmtId="0" fontId="0" fillId="0" borderId="0" xfId="0" applyBorder="1" applyAlignment="1">
      <alignment horizontal="left" vertical="center"/>
    </xf>
    <xf numFmtId="0" fontId="15" fillId="4" borderId="1" xfId="0" applyFont="1" applyFill="1" applyBorder="1" applyAlignment="1">
      <alignment horizontal="center" vertical="top"/>
    </xf>
    <xf numFmtId="0" fontId="18" fillId="0" borderId="1" xfId="0" applyFont="1" applyBorder="1" applyAlignment="1">
      <alignment horizontal="left" vertical="top"/>
    </xf>
    <xf numFmtId="164" fontId="1" fillId="4" borderId="1" xfId="0" applyNumberFormat="1" applyFont="1" applyFill="1" applyBorder="1"/>
    <xf numFmtId="165" fontId="1" fillId="4" borderId="1" xfId="0" applyNumberFormat="1" applyFont="1" applyFill="1" applyBorder="1"/>
    <xf numFmtId="165" fontId="15" fillId="4" borderId="1" xfId="0" applyNumberFormat="1" applyFont="1" applyFill="1" applyBorder="1" applyAlignment="1">
      <alignment horizontal="right" vertical="top"/>
    </xf>
    <xf numFmtId="165" fontId="12" fillId="0" borderId="0" xfId="0" applyNumberFormat="1" applyFont="1" applyBorder="1" applyAlignment="1">
      <alignment horizontal="center"/>
    </xf>
    <xf numFmtId="1" fontId="1" fillId="4" borderId="1" xfId="0" applyNumberFormat="1" applyFont="1" applyFill="1" applyBorder="1"/>
    <xf numFmtId="0" fontId="0" fillId="0" borderId="0" xfId="0" quotePrefix="1" applyBorder="1" applyAlignment="1">
      <alignment horizontal="left" vertical="center"/>
    </xf>
    <xf numFmtId="0" fontId="0" fillId="0" borderId="1" xfId="0" applyFill="1" applyBorder="1"/>
    <xf numFmtId="0" fontId="1" fillId="5" borderId="1" xfId="0" applyFont="1" applyFill="1" applyBorder="1" applyAlignment="1">
      <alignment horizontal="left" vertical="center"/>
    </xf>
    <xf numFmtId="0" fontId="0" fillId="0" borderId="1" xfId="0" applyBorder="1" applyAlignment="1"/>
    <xf numFmtId="0" fontId="0" fillId="0" borderId="0" xfId="0" applyAlignment="1"/>
    <xf numFmtId="0" fontId="0" fillId="8" borderId="0" xfId="0" applyFill="1" applyBorder="1" applyAlignment="1">
      <alignment horizontal="left" vertical="center"/>
    </xf>
    <xf numFmtId="0" fontId="2" fillId="0" borderId="1" xfId="0" applyFont="1" applyBorder="1" applyAlignment="1">
      <alignment horizontal="left" vertical="center"/>
    </xf>
    <xf numFmtId="164" fontId="2" fillId="0" borderId="1" xfId="0" applyNumberFormat="1" applyFont="1" applyBorder="1" applyAlignment="1">
      <alignment horizontal="left" vertical="center"/>
    </xf>
    <xf numFmtId="164" fontId="11" fillId="0" borderId="1" xfId="0" applyNumberFormat="1" applyFont="1" applyBorder="1" applyAlignment="1">
      <alignment horizontal="left" vertical="center"/>
    </xf>
    <xf numFmtId="0" fontId="5" fillId="7" borderId="2" xfId="0" applyFont="1" applyFill="1" applyBorder="1" applyAlignment="1"/>
    <xf numFmtId="0" fontId="1" fillId="7" borderId="3" xfId="0" applyFont="1" applyFill="1" applyBorder="1" applyAlignment="1"/>
    <xf numFmtId="0" fontId="0" fillId="7" borderId="3" xfId="0" applyFill="1" applyBorder="1" applyAlignment="1"/>
    <xf numFmtId="0" fontId="0" fillId="7" borderId="4" xfId="0" applyFill="1" applyBorder="1" applyAlignment="1"/>
    <xf numFmtId="0" fontId="1" fillId="3" borderId="5" xfId="0" applyFont="1" applyFill="1" applyBorder="1" applyAlignment="1">
      <alignment horizontal="lef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1" fillId="6" borderId="6" xfId="0" applyFont="1" applyFill="1" applyBorder="1" applyAlignment="1">
      <alignment horizontal="left" vertical="center"/>
    </xf>
    <xf numFmtId="0" fontId="0" fillId="0" borderId="0" xfId="0" applyAlignment="1">
      <alignment horizontal="left" vertical="center"/>
    </xf>
    <xf numFmtId="0" fontId="0" fillId="0" borderId="5" xfId="0" applyFont="1" applyBorder="1" applyAlignment="1"/>
    <xf numFmtId="0" fontId="1" fillId="0" borderId="1" xfId="0" applyFont="1" applyBorder="1" applyAlignment="1"/>
    <xf numFmtId="0" fontId="0" fillId="0" borderId="1" xfId="0" applyFont="1" applyBorder="1" applyAlignment="1"/>
    <xf numFmtId="0" fontId="0" fillId="0" borderId="1" xfId="0" quotePrefix="1" applyFont="1" applyBorder="1" applyAlignment="1"/>
    <xf numFmtId="164" fontId="0" fillId="4" borderId="1" xfId="0" applyNumberFormat="1" applyFont="1" applyFill="1" applyBorder="1" applyAlignment="1"/>
    <xf numFmtId="1" fontId="0" fillId="6" borderId="7" xfId="0" applyNumberFormat="1" applyFont="1" applyFill="1" applyBorder="1" applyAlignment="1"/>
    <xf numFmtId="0" fontId="0" fillId="0" borderId="0" xfId="0" applyFont="1" applyAlignment="1"/>
    <xf numFmtId="0" fontId="0" fillId="0" borderId="1" xfId="0" applyFont="1" applyBorder="1" applyAlignment="1">
      <alignment horizontal="left" vertical="center"/>
    </xf>
    <xf numFmtId="0" fontId="0" fillId="0" borderId="8" xfId="0" applyFont="1" applyBorder="1" applyAlignment="1"/>
    <xf numFmtId="0" fontId="1" fillId="0" borderId="9" xfId="0" applyFont="1" applyBorder="1" applyAlignment="1"/>
    <xf numFmtId="0" fontId="0" fillId="0" borderId="9" xfId="0" applyFont="1" applyBorder="1" applyAlignment="1"/>
    <xf numFmtId="0" fontId="0" fillId="0" borderId="9" xfId="0" quotePrefix="1" applyFont="1" applyBorder="1" applyAlignment="1"/>
    <xf numFmtId="164" fontId="0" fillId="4" borderId="9" xfId="0" applyNumberFormat="1" applyFont="1" applyFill="1" applyBorder="1" applyAlignment="1"/>
    <xf numFmtId="1" fontId="0" fillId="6" borderId="10" xfId="0" applyNumberFormat="1" applyFont="1" applyFill="1" applyBorder="1" applyAlignment="1"/>
    <xf numFmtId="0" fontId="1" fillId="0" borderId="0" xfId="0" applyFont="1" applyAlignment="1"/>
    <xf numFmtId="0" fontId="0" fillId="0" borderId="0" xfId="0" applyFont="1" applyBorder="1" applyAlignment="1"/>
    <xf numFmtId="0" fontId="3" fillId="0" borderId="1" xfId="0" applyFont="1" applyBorder="1" applyAlignment="1"/>
    <xf numFmtId="0" fontId="0" fillId="0" borderId="0" xfId="0" quotePrefix="1" applyFont="1" applyBorder="1" applyAlignment="1"/>
    <xf numFmtId="0" fontId="0" fillId="0" borderId="1" xfId="0" applyFont="1" applyFill="1" applyBorder="1" applyAlignment="1"/>
    <xf numFmtId="0" fontId="1" fillId="0" borderId="1" xfId="0" applyFont="1" applyFill="1" applyBorder="1" applyAlignment="1"/>
    <xf numFmtId="0" fontId="0" fillId="0" borderId="1" xfId="0" quotePrefix="1" applyFont="1" applyFill="1" applyBorder="1" applyAlignment="1"/>
    <xf numFmtId="0" fontId="3" fillId="0" borderId="0" xfId="0" applyFont="1" applyAlignment="1"/>
    <xf numFmtId="0" fontId="0" fillId="7" borderId="3" xfId="0" applyFont="1" applyFill="1" applyBorder="1" applyAlignment="1"/>
    <xf numFmtId="0" fontId="0" fillId="7" borderId="4" xfId="0" applyFont="1" applyFill="1" applyBorder="1" applyAlignment="1"/>
    <xf numFmtId="0" fontId="0" fillId="0" borderId="5" xfId="0" applyFont="1" applyFill="1" applyBorder="1" applyAlignment="1"/>
    <xf numFmtId="0" fontId="0" fillId="0" borderId="9" xfId="0" applyFont="1" applyFill="1" applyBorder="1" applyAlignment="1"/>
    <xf numFmtId="0" fontId="0" fillId="0" borderId="0" xfId="0" applyFill="1" applyBorder="1" applyAlignment="1">
      <alignment horizontal="left" vertical="center" wrapText="1"/>
    </xf>
    <xf numFmtId="165" fontId="14" fillId="0" borderId="0" xfId="0" applyNumberFormat="1" applyFont="1" applyFill="1" applyBorder="1" applyAlignment="1">
      <alignment horizontal="center"/>
    </xf>
    <xf numFmtId="0" fontId="1" fillId="0" borderId="0" xfId="0" applyFont="1" applyFill="1" applyBorder="1"/>
    <xf numFmtId="11" fontId="0" fillId="0" borderId="0" xfId="0" applyNumberFormat="1" applyFill="1" applyBorder="1"/>
    <xf numFmtId="0" fontId="1" fillId="4" borderId="1" xfId="0" applyFont="1" applyFill="1" applyBorder="1"/>
    <xf numFmtId="0" fontId="1" fillId="5" borderId="12"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3" xfId="0" applyFont="1" applyFill="1" applyBorder="1" applyAlignment="1">
      <alignment horizontal="left" vertical="center"/>
    </xf>
    <xf numFmtId="0" fontId="1" fillId="4"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8" fillId="0" borderId="5" xfId="0" applyFont="1" applyBorder="1" applyAlignment="1">
      <alignment horizontal="left" vertical="top"/>
    </xf>
    <xf numFmtId="2" fontId="15" fillId="6" borderId="7" xfId="0" applyNumberFormat="1" applyFont="1" applyFill="1" applyBorder="1" applyAlignment="1">
      <alignment horizontal="center"/>
    </xf>
    <xf numFmtId="0" fontId="0" fillId="0" borderId="5" xfId="0" applyBorder="1"/>
    <xf numFmtId="2" fontId="1" fillId="6" borderId="7" xfId="0" applyNumberFormat="1" applyFont="1" applyFill="1" applyBorder="1"/>
    <xf numFmtId="166" fontId="1" fillId="6" borderId="7" xfId="0" applyNumberFormat="1" applyFont="1" applyFill="1" applyBorder="1"/>
    <xf numFmtId="0" fontId="0" fillId="0" borderId="5" xfId="0" applyFont="1" applyFill="1" applyBorder="1"/>
    <xf numFmtId="0" fontId="1" fillId="6" borderId="7" xfId="0" applyFont="1" applyFill="1" applyBorder="1"/>
    <xf numFmtId="0" fontId="0" fillId="0" borderId="7" xfId="0" applyBorder="1"/>
    <xf numFmtId="0" fontId="12" fillId="0" borderId="5" xfId="0" applyFont="1" applyBorder="1" applyAlignment="1">
      <alignment horizontal="left" vertical="top"/>
    </xf>
    <xf numFmtId="0" fontId="12" fillId="0" borderId="5" xfId="0" applyFont="1" applyFill="1" applyBorder="1" applyAlignment="1">
      <alignment horizontal="left" vertical="top"/>
    </xf>
    <xf numFmtId="0" fontId="1" fillId="9" borderId="6" xfId="0" applyFont="1" applyFill="1" applyBorder="1" applyAlignment="1">
      <alignment horizontal="left" vertical="center"/>
    </xf>
    <xf numFmtId="49" fontId="0" fillId="4" borderId="1" xfId="0" quotePrefix="1" applyNumberFormat="1" applyFont="1" applyFill="1" applyBorder="1" applyAlignment="1"/>
    <xf numFmtId="49" fontId="0" fillId="9" borderId="1" xfId="0" quotePrefix="1" applyNumberFormat="1" applyFont="1" applyFill="1" applyBorder="1" applyAlignment="1"/>
    <xf numFmtId="49" fontId="0" fillId="4" borderId="0" xfId="0" quotePrefix="1" applyNumberFormat="1" applyFont="1" applyFill="1" applyBorder="1" applyAlignment="1"/>
    <xf numFmtId="49" fontId="0" fillId="9" borderId="0" xfId="0" quotePrefix="1" applyNumberFormat="1" applyFont="1" applyFill="1" applyBorder="1" applyAlignment="1"/>
    <xf numFmtId="49" fontId="0" fillId="4" borderId="9" xfId="0" quotePrefix="1" applyNumberFormat="1" applyFont="1" applyFill="1" applyBorder="1" applyAlignment="1"/>
    <xf numFmtId="49" fontId="0" fillId="9" borderId="9" xfId="0" quotePrefix="1" applyNumberFormat="1" applyFont="1" applyFill="1" applyBorder="1" applyAlignment="1"/>
    <xf numFmtId="0" fontId="1" fillId="6" borderId="0" xfId="0" applyFont="1" applyFill="1" applyBorder="1" applyAlignment="1">
      <alignment horizontal="left" vertical="center"/>
    </xf>
    <xf numFmtId="1" fontId="0" fillId="6" borderId="11" xfId="0" applyNumberFormat="1" applyFont="1" applyFill="1" applyBorder="1" applyAlignment="1"/>
    <xf numFmtId="1" fontId="0" fillId="6" borderId="15" xfId="0" applyNumberFormat="1" applyFont="1" applyFill="1" applyBorder="1" applyAlignment="1"/>
    <xf numFmtId="0" fontId="21" fillId="0" borderId="5" xfId="0" applyFont="1" applyBorder="1" applyAlignment="1">
      <alignment horizontal="center" vertical="center"/>
    </xf>
    <xf numFmtId="0" fontId="21" fillId="0" borderId="1" xfId="0" applyFont="1" applyBorder="1" applyAlignment="1">
      <alignment horizontal="center" vertical="center"/>
    </xf>
    <xf numFmtId="0" fontId="21" fillId="0" borderId="7" xfId="0" applyFont="1" applyBorder="1" applyAlignment="1">
      <alignment horizontal="center" vertical="center"/>
    </xf>
    <xf numFmtId="164" fontId="21" fillId="0" borderId="5" xfId="0" applyNumberFormat="1" applyFont="1" applyBorder="1" applyAlignment="1">
      <alignment horizontal="center"/>
    </xf>
    <xf numFmtId="164" fontId="21" fillId="0" borderId="1" xfId="0" applyNumberFormat="1" applyFont="1" applyBorder="1" applyAlignment="1">
      <alignment horizontal="center"/>
    </xf>
    <xf numFmtId="1" fontId="21" fillId="0" borderId="1" xfId="0" applyNumberFormat="1" applyFont="1" applyBorder="1" applyAlignment="1">
      <alignment horizontal="center"/>
    </xf>
    <xf numFmtId="1" fontId="21" fillId="0" borderId="7" xfId="0" applyNumberFormat="1" applyFont="1" applyBorder="1" applyAlignment="1">
      <alignment horizontal="center"/>
    </xf>
    <xf numFmtId="167" fontId="21" fillId="0" borderId="1" xfId="0" applyNumberFormat="1" applyFont="1" applyBorder="1" applyAlignment="1">
      <alignment horizontal="center"/>
    </xf>
    <xf numFmtId="167" fontId="21" fillId="0" borderId="7" xfId="0" applyNumberFormat="1" applyFont="1" applyBorder="1" applyAlignment="1">
      <alignment horizontal="center"/>
    </xf>
    <xf numFmtId="164" fontId="21" fillId="0" borderId="8" xfId="0" applyNumberFormat="1" applyFont="1" applyBorder="1" applyAlignment="1">
      <alignment horizontal="center"/>
    </xf>
    <xf numFmtId="164" fontId="21" fillId="0" borderId="9" xfId="0" applyNumberFormat="1" applyFont="1" applyBorder="1" applyAlignment="1">
      <alignment horizontal="center"/>
    </xf>
    <xf numFmtId="1" fontId="21" fillId="0" borderId="9" xfId="0" applyNumberFormat="1" applyFont="1" applyBorder="1" applyAlignment="1">
      <alignment horizontal="center"/>
    </xf>
    <xf numFmtId="1" fontId="21" fillId="0" borderId="10" xfId="0" applyNumberFormat="1" applyFont="1" applyBorder="1" applyAlignment="1">
      <alignment horizontal="center"/>
    </xf>
    <xf numFmtId="0" fontId="19" fillId="0" borderId="0" xfId="0" applyFont="1" applyAlignment="1">
      <alignment horizontal="center"/>
    </xf>
    <xf numFmtId="168" fontId="0" fillId="6" borderId="7" xfId="0" applyNumberFormat="1" applyFont="1" applyFill="1" applyBorder="1" applyAlignment="1"/>
    <xf numFmtId="167" fontId="0" fillId="4" borderId="1" xfId="0" applyNumberFormat="1" applyFont="1" applyFill="1" applyBorder="1" applyAlignment="1"/>
    <xf numFmtId="0" fontId="0" fillId="7" borderId="3" xfId="0" applyFill="1" applyBorder="1" applyAlignment="1">
      <alignment horizontal="center"/>
    </xf>
    <xf numFmtId="0" fontId="0" fillId="7" borderId="4" xfId="0" applyFill="1" applyBorder="1" applyAlignment="1">
      <alignment horizontal="center"/>
    </xf>
    <xf numFmtId="0" fontId="1" fillId="4" borderId="1" xfId="0" applyFont="1" applyFill="1" applyBorder="1" applyAlignment="1">
      <alignment horizontal="center" vertical="center"/>
    </xf>
    <xf numFmtId="0" fontId="1" fillId="6" borderId="6" xfId="0" applyFont="1" applyFill="1" applyBorder="1" applyAlignment="1">
      <alignment horizontal="center" vertical="center"/>
    </xf>
    <xf numFmtId="49" fontId="0" fillId="4" borderId="1" xfId="0" applyNumberFormat="1" applyFont="1" applyFill="1" applyBorder="1" applyAlignment="1">
      <alignment horizontal="center"/>
    </xf>
    <xf numFmtId="49" fontId="0" fillId="6" borderId="7" xfId="0" applyNumberFormat="1" applyFont="1" applyFill="1" applyBorder="1" applyAlignment="1">
      <alignment horizontal="center"/>
    </xf>
    <xf numFmtId="49" fontId="0" fillId="4" borderId="9" xfId="0" applyNumberFormat="1" applyFont="1" applyFill="1" applyBorder="1" applyAlignment="1">
      <alignment horizontal="center"/>
    </xf>
    <xf numFmtId="0" fontId="0" fillId="0" borderId="0" xfId="0" applyAlignment="1">
      <alignment horizontal="center"/>
    </xf>
    <xf numFmtId="0" fontId="24" fillId="0" borderId="0" xfId="0" applyFont="1" applyAlignment="1"/>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26" fillId="0" borderId="7" xfId="0" applyFont="1" applyBorder="1" applyAlignment="1">
      <alignment horizontal="center" vertical="center"/>
    </xf>
    <xf numFmtId="164" fontId="26" fillId="0" borderId="0" xfId="0" applyNumberFormat="1" applyFont="1" applyAlignment="1">
      <alignment horizontal="center"/>
    </xf>
    <xf numFmtId="1" fontId="26" fillId="0" borderId="0" xfId="0" applyNumberFormat="1" applyFont="1" applyAlignment="1">
      <alignment horizontal="center"/>
    </xf>
    <xf numFmtId="167" fontId="26" fillId="0" borderId="0" xfId="0" applyNumberFormat="1" applyFont="1" applyAlignment="1">
      <alignment horizontal="center"/>
    </xf>
    <xf numFmtId="168" fontId="26" fillId="0" borderId="0" xfId="0" applyNumberFormat="1" applyFont="1" applyAlignment="1">
      <alignment horizontal="center"/>
    </xf>
    <xf numFmtId="0" fontId="23" fillId="7" borderId="3" xfId="0" applyFont="1" applyFill="1" applyBorder="1" applyAlignment="1">
      <alignment horizontal="center"/>
    </xf>
    <xf numFmtId="0" fontId="22" fillId="5" borderId="1" xfId="0" applyFont="1" applyFill="1" applyBorder="1" applyAlignment="1">
      <alignment horizontal="center" vertical="center"/>
    </xf>
    <xf numFmtId="9" fontId="23" fillId="0" borderId="1" xfId="0" quotePrefix="1" applyNumberFormat="1" applyFont="1" applyBorder="1" applyAlignment="1">
      <alignment horizontal="center"/>
    </xf>
    <xf numFmtId="0" fontId="23" fillId="0" borderId="1" xfId="0" quotePrefix="1" applyFont="1" applyBorder="1" applyAlignment="1">
      <alignment horizontal="center"/>
    </xf>
    <xf numFmtId="0" fontId="23" fillId="0" borderId="9" xfId="0" quotePrefix="1" applyFont="1" applyBorder="1" applyAlignment="1">
      <alignment horizontal="center"/>
    </xf>
    <xf numFmtId="0" fontId="23" fillId="0" borderId="0" xfId="0" applyFont="1" applyAlignment="1">
      <alignment horizontal="center"/>
    </xf>
    <xf numFmtId="164" fontId="0" fillId="0" borderId="0" xfId="0" applyNumberFormat="1" applyFont="1" applyAlignment="1"/>
    <xf numFmtId="168" fontId="0" fillId="0" borderId="0" xfId="0" applyNumberFormat="1" applyFont="1" applyAlignment="1"/>
    <xf numFmtId="1" fontId="0" fillId="0" borderId="0" xfId="0" applyNumberFormat="1" applyFont="1" applyAlignment="1"/>
    <xf numFmtId="167" fontId="0" fillId="0" borderId="0" xfId="0" applyNumberFormat="1" applyFont="1" applyAlignment="1"/>
    <xf numFmtId="0" fontId="1" fillId="0" borderId="0" xfId="0" applyFont="1"/>
    <xf numFmtId="0" fontId="28" fillId="0" borderId="5" xfId="0" applyFont="1" applyBorder="1" applyAlignment="1">
      <alignment horizontal="center" wrapText="1"/>
    </xf>
    <xf numFmtId="0" fontId="28" fillId="0" borderId="1" xfId="0" applyFont="1" applyBorder="1" applyAlignment="1">
      <alignment horizontal="center" wrapText="1"/>
    </xf>
    <xf numFmtId="0" fontId="28" fillId="0" borderId="7" xfId="0" applyFont="1" applyBorder="1" applyAlignment="1">
      <alignment horizontal="center" wrapText="1"/>
    </xf>
    <xf numFmtId="168" fontId="28" fillId="0" borderId="1" xfId="0" applyNumberFormat="1" applyFont="1" applyBorder="1" applyAlignment="1">
      <alignment horizontal="center" wrapText="1"/>
    </xf>
    <xf numFmtId="0" fontId="29" fillId="0" borderId="0" xfId="2"/>
    <xf numFmtId="1" fontId="28" fillId="0" borderId="8" xfId="0" applyNumberFormat="1" applyFont="1" applyBorder="1" applyAlignment="1">
      <alignment horizontal="center" wrapText="1"/>
    </xf>
    <xf numFmtId="1" fontId="28" fillId="0" borderId="9" xfId="0" applyNumberFormat="1" applyFont="1" applyBorder="1" applyAlignment="1">
      <alignment horizontal="center" wrapText="1"/>
    </xf>
    <xf numFmtId="1" fontId="28" fillId="0" borderId="10" xfId="0" applyNumberFormat="1" applyFont="1" applyBorder="1" applyAlignment="1">
      <alignment horizontal="center" wrapText="1"/>
    </xf>
    <xf numFmtId="0" fontId="0" fillId="0" borderId="0" xfId="0" applyAlignment="1">
      <alignment horizontal="left" vertical="top"/>
    </xf>
    <xf numFmtId="0" fontId="0" fillId="10" borderId="0" xfId="0" applyFill="1"/>
    <xf numFmtId="0" fontId="0" fillId="10" borderId="0" xfId="0" applyFill="1" applyAlignment="1">
      <alignment horizontal="center"/>
    </xf>
    <xf numFmtId="1" fontId="0" fillId="10" borderId="0" xfId="0" applyNumberFormat="1" applyFill="1" applyAlignment="1">
      <alignment horizontal="center"/>
    </xf>
    <xf numFmtId="0" fontId="1" fillId="10" borderId="0" xfId="0" applyFont="1" applyFill="1"/>
    <xf numFmtId="0" fontId="30" fillId="10" borderId="0" xfId="0" applyFont="1" applyFill="1" applyAlignment="1">
      <alignment horizontal="right"/>
    </xf>
    <xf numFmtId="10" fontId="30" fillId="10" borderId="0" xfId="1" applyNumberFormat="1" applyFont="1" applyFill="1" applyAlignment="1">
      <alignment horizontal="center"/>
    </xf>
    <xf numFmtId="0" fontId="30" fillId="10" borderId="0" xfId="0" applyFont="1" applyFill="1"/>
    <xf numFmtId="169" fontId="30" fillId="10" borderId="0" xfId="1" applyNumberFormat="1" applyFont="1" applyFill="1" applyAlignment="1">
      <alignment horizontal="center"/>
    </xf>
    <xf numFmtId="0" fontId="31" fillId="0" borderId="7" xfId="0" applyFont="1" applyBorder="1" applyAlignment="1">
      <alignment horizontal="center" wrapText="1"/>
    </xf>
    <xf numFmtId="168" fontId="31" fillId="0" borderId="7" xfId="0" applyNumberFormat="1" applyFont="1" applyBorder="1" applyAlignment="1">
      <alignment horizontal="center" wrapText="1"/>
    </xf>
    <xf numFmtId="0" fontId="31" fillId="0" borderId="5" xfId="0" applyFont="1" applyBorder="1" applyAlignment="1">
      <alignment horizontal="center" wrapText="1"/>
    </xf>
    <xf numFmtId="0" fontId="31" fillId="0" borderId="1" xfId="0" applyFont="1" applyBorder="1" applyAlignment="1">
      <alignment horizontal="center" wrapText="1"/>
    </xf>
    <xf numFmtId="0" fontId="32" fillId="7" borderId="3" xfId="0" applyFont="1" applyFill="1" applyBorder="1" applyAlignment="1"/>
    <xf numFmtId="0" fontId="33" fillId="5" borderId="1" xfId="0" applyFont="1" applyFill="1" applyBorder="1" applyAlignment="1">
      <alignment horizontal="left" vertical="center"/>
    </xf>
    <xf numFmtId="0" fontId="32" fillId="0" borderId="1" xfId="0" quotePrefix="1" applyFont="1" applyBorder="1" applyAlignment="1"/>
    <xf numFmtId="0" fontId="32" fillId="0" borderId="9" xfId="0" quotePrefix="1" applyFont="1" applyBorder="1" applyAlignment="1"/>
    <xf numFmtId="0" fontId="32" fillId="0" borderId="0" xfId="0" applyFont="1" applyAlignment="1"/>
    <xf numFmtId="0" fontId="32" fillId="4" borderId="1" xfId="0" quotePrefix="1" applyFont="1" applyFill="1" applyBorder="1" applyAlignment="1"/>
    <xf numFmtId="0" fontId="32" fillId="6" borderId="1" xfId="0" quotePrefix="1" applyFont="1" applyFill="1" applyBorder="1" applyAlignment="1"/>
    <xf numFmtId="0" fontId="32" fillId="6" borderId="9" xfId="0" quotePrefix="1" applyFont="1" applyFill="1" applyBorder="1" applyAlignment="1"/>
    <xf numFmtId="0" fontId="32" fillId="4" borderId="0" xfId="0" quotePrefix="1" applyFont="1" applyFill="1" applyBorder="1" applyAlignment="1"/>
    <xf numFmtId="1" fontId="0" fillId="0" borderId="0" xfId="0" applyNumberFormat="1"/>
    <xf numFmtId="0" fontId="0" fillId="0" borderId="0" xfId="0" applyAlignment="1">
      <alignment horizontal="right"/>
    </xf>
    <xf numFmtId="0" fontId="32" fillId="6" borderId="0" xfId="0" quotePrefix="1" applyFont="1" applyFill="1" applyBorder="1" applyAlignment="1"/>
    <xf numFmtId="164" fontId="21" fillId="0" borderId="0" xfId="0" applyNumberFormat="1" applyFont="1" applyBorder="1" applyAlignment="1">
      <alignment horizontal="center"/>
    </xf>
    <xf numFmtId="1" fontId="21" fillId="0" borderId="0" xfId="0" applyNumberFormat="1" applyFont="1" applyBorder="1" applyAlignment="1">
      <alignment horizontal="center"/>
    </xf>
    <xf numFmtId="0" fontId="35" fillId="2" borderId="16" xfId="4" applyFont="1" applyFill="1" applyBorder="1" applyProtection="1">
      <protection hidden="1"/>
    </xf>
    <xf numFmtId="0" fontId="35" fillId="0" borderId="11" xfId="4" applyFont="1" applyFill="1" applyBorder="1" applyProtection="1">
      <protection hidden="1"/>
    </xf>
    <xf numFmtId="1" fontId="36" fillId="2" borderId="17" xfId="3" applyNumberFormat="1" applyFont="1" applyFill="1" applyBorder="1" applyAlignment="1" applyProtection="1">
      <alignment horizontal="center"/>
      <protection hidden="1"/>
    </xf>
    <xf numFmtId="0" fontId="36" fillId="2" borderId="17" xfId="3" applyNumberFormat="1" applyFont="1" applyFill="1" applyBorder="1" applyAlignment="1" applyProtection="1">
      <alignment horizontal="center"/>
      <protection hidden="1"/>
    </xf>
    <xf numFmtId="9" fontId="37" fillId="3" borderId="17" xfId="1" applyNumberFormat="1" applyFont="1" applyFill="1" applyBorder="1" applyAlignment="1" applyProtection="1">
      <alignment horizontal="center"/>
      <protection locked="0"/>
    </xf>
    <xf numFmtId="0" fontId="35" fillId="2" borderId="18" xfId="0" applyFont="1" applyFill="1" applyBorder="1" applyAlignment="1" applyProtection="1">
      <alignment horizontal="center"/>
      <protection hidden="1"/>
    </xf>
    <xf numFmtId="2" fontId="37" fillId="2" borderId="1" xfId="4" applyNumberFormat="1" applyFont="1" applyFill="1" applyBorder="1" applyAlignment="1" applyProtection="1">
      <alignment horizontal="center"/>
      <protection hidden="1"/>
    </xf>
    <xf numFmtId="0" fontId="38" fillId="2" borderId="19" xfId="4" applyFont="1" applyFill="1" applyBorder="1" applyProtection="1">
      <protection hidden="1"/>
    </xf>
    <xf numFmtId="0" fontId="41" fillId="0" borderId="11" xfId="4" applyFont="1" applyFill="1" applyBorder="1" applyProtection="1">
      <protection hidden="1"/>
    </xf>
    <xf numFmtId="9" fontId="37" fillId="3" borderId="17" xfId="1" applyFont="1" applyFill="1" applyBorder="1" applyAlignment="1" applyProtection="1">
      <alignment horizontal="center"/>
      <protection locked="0"/>
    </xf>
    <xf numFmtId="0" fontId="0" fillId="11" borderId="1" xfId="0" applyFont="1" applyFill="1" applyBorder="1" applyAlignment="1"/>
    <xf numFmtId="0" fontId="4" fillId="11" borderId="1" xfId="0" applyFont="1" applyFill="1" applyBorder="1" applyAlignment="1"/>
    <xf numFmtId="0" fontId="12" fillId="0" borderId="20" xfId="0" applyFont="1" applyBorder="1" applyAlignment="1">
      <alignment horizontal="left" vertical="top"/>
    </xf>
    <xf numFmtId="0" fontId="12" fillId="0" borderId="16" xfId="0" applyFont="1" applyBorder="1" applyAlignment="1">
      <alignment horizontal="left" vertical="top"/>
    </xf>
    <xf numFmtId="164" fontId="1" fillId="4" borderId="16" xfId="0" applyNumberFormat="1" applyFont="1" applyFill="1" applyBorder="1"/>
    <xf numFmtId="2" fontId="1" fillId="6" borderId="21" xfId="0" applyNumberFormat="1" applyFont="1" applyFill="1" applyBorder="1"/>
    <xf numFmtId="1" fontId="0" fillId="11" borderId="1" xfId="0" applyNumberFormat="1" applyFont="1" applyFill="1" applyBorder="1" applyAlignment="1"/>
    <xf numFmtId="0" fontId="0" fillId="11" borderId="1" xfId="0" applyFill="1" applyBorder="1"/>
    <xf numFmtId="164" fontId="0" fillId="11" borderId="1" xfId="0" applyNumberFormat="1" applyFill="1" applyBorder="1"/>
    <xf numFmtId="1" fontId="0" fillId="11" borderId="1" xfId="0" applyNumberFormat="1" applyFill="1" applyBorder="1" applyAlignment="1">
      <alignment horizontal="right" vertical="center" wrapText="1"/>
    </xf>
    <xf numFmtId="1" fontId="0" fillId="11" borderId="1" xfId="0" applyNumberFormat="1" applyFill="1" applyBorder="1" applyAlignment="1">
      <alignment horizontal="right" vertical="center"/>
    </xf>
    <xf numFmtId="0" fontId="13" fillId="12" borderId="1" xfId="0" applyFont="1" applyFill="1" applyBorder="1"/>
    <xf numFmtId="0" fontId="43" fillId="11" borderId="0" xfId="0" applyFont="1" applyFill="1" applyAlignment="1"/>
    <xf numFmtId="0" fontId="43" fillId="0" borderId="0" xfId="0" applyFont="1" applyAlignment="1"/>
    <xf numFmtId="1" fontId="0" fillId="0" borderId="0" xfId="0" applyNumberFormat="1" applyAlignment="1"/>
    <xf numFmtId="1" fontId="44" fillId="0" borderId="0" xfId="0" applyNumberFormat="1" applyFont="1" applyFill="1" applyAlignment="1"/>
    <xf numFmtId="0" fontId="44" fillId="0" borderId="0" xfId="0" applyFont="1" applyFill="1" applyAlignment="1"/>
    <xf numFmtId="0" fontId="44" fillId="0" borderId="0" xfId="0" applyFont="1" applyFill="1" applyAlignment="1">
      <alignment horizontal="center"/>
    </xf>
    <xf numFmtId="0" fontId="44" fillId="0" borderId="0" xfId="0" applyFont="1" applyFill="1" applyAlignment="1">
      <alignment horizontal="left"/>
    </xf>
    <xf numFmtId="0" fontId="6" fillId="4" borderId="0" xfId="0" applyFont="1" applyFill="1" applyBorder="1"/>
    <xf numFmtId="49" fontId="0" fillId="6" borderId="1" xfId="0" quotePrefix="1" applyNumberFormat="1" applyFont="1" applyFill="1" applyBorder="1" applyAlignment="1"/>
    <xf numFmtId="49" fontId="0" fillId="6" borderId="0" xfId="0" quotePrefix="1" applyNumberFormat="1" applyFont="1" applyFill="1" applyBorder="1" applyAlignment="1"/>
    <xf numFmtId="49" fontId="0" fillId="6" borderId="9" xfId="0" quotePrefix="1" applyNumberFormat="1" applyFont="1" applyFill="1" applyBorder="1" applyAlignment="1"/>
    <xf numFmtId="49" fontId="0" fillId="6" borderId="7" xfId="0" quotePrefix="1" applyNumberFormat="1" applyFont="1" applyFill="1" applyBorder="1" applyAlignment="1"/>
    <xf numFmtId="0" fontId="46" fillId="13" borderId="0" xfId="0" applyFont="1" applyFill="1" applyAlignment="1"/>
    <xf numFmtId="0" fontId="46" fillId="0" borderId="5" xfId="0" applyFont="1" applyBorder="1" applyAlignment="1"/>
    <xf numFmtId="0" fontId="47" fillId="0" borderId="1" xfId="0" applyFont="1" applyBorder="1" applyAlignment="1"/>
    <xf numFmtId="0" fontId="48" fillId="13" borderId="1" xfId="0" quotePrefix="1" applyFont="1" applyFill="1" applyBorder="1" applyAlignment="1">
      <alignment horizontal="center"/>
    </xf>
    <xf numFmtId="49" fontId="46" fillId="4" borderId="1" xfId="0" applyNumberFormat="1" applyFont="1" applyFill="1" applyBorder="1" applyAlignment="1">
      <alignment horizontal="center"/>
    </xf>
    <xf numFmtId="49" fontId="46" fillId="6" borderId="1" xfId="0" applyNumberFormat="1" applyFont="1" applyFill="1" applyBorder="1" applyAlignment="1">
      <alignment horizontal="center"/>
    </xf>
    <xf numFmtId="167" fontId="46" fillId="4" borderId="1" xfId="0" applyNumberFormat="1" applyFont="1" applyFill="1" applyBorder="1" applyAlignment="1"/>
    <xf numFmtId="168" fontId="46" fillId="6" borderId="11" xfId="0" applyNumberFormat="1" applyFont="1" applyFill="1" applyBorder="1" applyAlignment="1"/>
    <xf numFmtId="0" fontId="46" fillId="0" borderId="5" xfId="0" applyFont="1" applyBorder="1" applyAlignment="1">
      <alignment horizontal="center"/>
    </xf>
    <xf numFmtId="0" fontId="46" fillId="0" borderId="1" xfId="0" applyFont="1" applyBorder="1" applyAlignment="1">
      <alignment horizontal="center"/>
    </xf>
    <xf numFmtId="0" fontId="46" fillId="0" borderId="7" xfId="0" applyFont="1" applyBorder="1" applyAlignment="1">
      <alignment horizontal="center"/>
    </xf>
    <xf numFmtId="0" fontId="46" fillId="0" borderId="0" xfId="0" applyFont="1" applyAlignment="1"/>
    <xf numFmtId="164" fontId="46" fillId="4" borderId="1" xfId="0" applyNumberFormat="1" applyFont="1" applyFill="1" applyBorder="1" applyAlignment="1"/>
    <xf numFmtId="1" fontId="46" fillId="6" borderId="11" xfId="0" applyNumberFormat="1" applyFont="1" applyFill="1" applyBorder="1" applyAlignment="1"/>
    <xf numFmtId="9" fontId="48" fillId="13" borderId="1" xfId="0" quotePrefix="1" applyNumberFormat="1" applyFont="1" applyFill="1" applyBorder="1" applyAlignment="1">
      <alignment horizontal="center"/>
    </xf>
    <xf numFmtId="0" fontId="45" fillId="0" borderId="0" xfId="0" applyFont="1" applyAlignment="1"/>
    <xf numFmtId="49" fontId="46" fillId="6" borderId="7" xfId="0" applyNumberFormat="1" applyFont="1" applyFill="1" applyBorder="1" applyAlignment="1">
      <alignment horizontal="center"/>
    </xf>
    <xf numFmtId="1" fontId="46" fillId="6" borderId="7" xfId="0" applyNumberFormat="1" applyFont="1" applyFill="1" applyBorder="1" applyAlignment="1"/>
    <xf numFmtId="0" fontId="46" fillId="0" borderId="0" xfId="0" applyFont="1" applyAlignment="1">
      <alignment horizontal="center"/>
    </xf>
    <xf numFmtId="0" fontId="49" fillId="0" borderId="0" xfId="0" applyFont="1" applyAlignment="1"/>
    <xf numFmtId="1" fontId="45" fillId="0" borderId="0" xfId="0" applyNumberFormat="1" applyFont="1" applyAlignment="1"/>
    <xf numFmtId="0" fontId="45" fillId="0" borderId="0" xfId="0" applyFont="1" applyFill="1" applyAlignment="1"/>
    <xf numFmtId="1" fontId="0" fillId="0" borderId="0" xfId="0" applyNumberFormat="1" applyFill="1" applyAlignment="1"/>
    <xf numFmtId="1" fontId="0" fillId="0" borderId="0" xfId="0" applyNumberFormat="1" applyFont="1" applyFill="1" applyAlignment="1"/>
    <xf numFmtId="0" fontId="0" fillId="0" borderId="0" xfId="0" applyFill="1" applyAlignment="1"/>
    <xf numFmtId="0" fontId="0" fillId="0" borderId="0" xfId="0" applyFont="1" applyFill="1" applyAlignment="1"/>
    <xf numFmtId="0" fontId="1" fillId="0" borderId="2" xfId="0" applyFont="1" applyBorder="1" applyAlignment="1"/>
    <xf numFmtId="0" fontId="32" fillId="0" borderId="3" xfId="0" applyFont="1" applyBorder="1" applyAlignment="1"/>
    <xf numFmtId="0" fontId="0" fillId="0" borderId="3" xfId="0" applyBorder="1" applyAlignment="1"/>
    <xf numFmtId="0" fontId="0" fillId="0" borderId="3" xfId="0" applyFont="1" applyBorder="1" applyAlignment="1"/>
    <xf numFmtId="0" fontId="1" fillId="0" borderId="22" xfId="0" applyFont="1" applyBorder="1" applyAlignment="1"/>
    <xf numFmtId="0" fontId="32" fillId="0" borderId="0" xfId="0" applyFont="1" applyBorder="1" applyAlignment="1"/>
    <xf numFmtId="0" fontId="0" fillId="0" borderId="0" xfId="0" applyBorder="1" applyAlignment="1"/>
    <xf numFmtId="0" fontId="1" fillId="0" borderId="0" xfId="0" applyFont="1" applyBorder="1" applyAlignment="1"/>
    <xf numFmtId="0" fontId="0" fillId="0" borderId="22" xfId="0" applyFont="1" applyBorder="1" applyAlignment="1"/>
    <xf numFmtId="1" fontId="0" fillId="0" borderId="0" xfId="0" applyNumberFormat="1" applyFont="1" applyBorder="1" applyAlignment="1"/>
    <xf numFmtId="0" fontId="0" fillId="0" borderId="23" xfId="0" applyFont="1" applyBorder="1" applyAlignment="1"/>
    <xf numFmtId="0" fontId="32" fillId="0" borderId="24" xfId="0" applyFont="1" applyBorder="1" applyAlignment="1"/>
    <xf numFmtId="0" fontId="0" fillId="0" borderId="24" xfId="0" applyBorder="1" applyAlignment="1"/>
    <xf numFmtId="1" fontId="0" fillId="0" borderId="24" xfId="0" applyNumberFormat="1" applyFont="1" applyBorder="1" applyAlignment="1"/>
    <xf numFmtId="0" fontId="0" fillId="0" borderId="25" xfId="0" applyFont="1" applyBorder="1" applyAlignment="1"/>
    <xf numFmtId="0" fontId="1" fillId="0" borderId="25" xfId="0" applyFont="1" applyBorder="1" applyAlignment="1"/>
    <xf numFmtId="1" fontId="0" fillId="0" borderId="25" xfId="0" applyNumberFormat="1" applyBorder="1" applyAlignment="1"/>
    <xf numFmtId="0" fontId="0" fillId="0" borderId="26" xfId="0" applyFont="1" applyBorder="1" applyAlignment="1"/>
    <xf numFmtId="0" fontId="0" fillId="0" borderId="27" xfId="0" applyBorder="1"/>
    <xf numFmtId="1" fontId="44" fillId="0" borderId="28" xfId="0" applyNumberFormat="1" applyFont="1" applyBorder="1" applyAlignment="1">
      <alignment horizontal="right"/>
    </xf>
    <xf numFmtId="0" fontId="1" fillId="0" borderId="28" xfId="0" applyFont="1" applyBorder="1" applyAlignment="1"/>
    <xf numFmtId="1" fontId="45" fillId="0" borderId="28" xfId="0" applyNumberFormat="1" applyFont="1" applyFill="1" applyBorder="1" applyAlignment="1">
      <alignment horizontal="center"/>
    </xf>
    <xf numFmtId="1" fontId="44" fillId="0" borderId="28" xfId="0" applyNumberFormat="1" applyFont="1" applyFill="1" applyBorder="1" applyAlignment="1">
      <alignment horizontal="center"/>
    </xf>
    <xf numFmtId="1" fontId="0" fillId="0" borderId="29" xfId="0" applyNumberFormat="1" applyBorder="1" applyAlignment="1"/>
    <xf numFmtId="1" fontId="44" fillId="0" borderId="30" xfId="0" applyNumberFormat="1" applyFont="1" applyFill="1" applyBorder="1" applyAlignment="1">
      <alignment horizontal="center"/>
    </xf>
    <xf numFmtId="0" fontId="1" fillId="0" borderId="31" xfId="0" applyFont="1" applyBorder="1" applyAlignment="1"/>
    <xf numFmtId="0" fontId="32" fillId="0" borderId="32" xfId="0" applyFont="1" applyBorder="1" applyAlignment="1"/>
    <xf numFmtId="0" fontId="0" fillId="0" borderId="32" xfId="0" applyBorder="1" applyAlignment="1"/>
    <xf numFmtId="1" fontId="0" fillId="0" borderId="32" xfId="0" applyNumberFormat="1" applyFont="1" applyBorder="1" applyAlignment="1"/>
    <xf numFmtId="1" fontId="0" fillId="0" borderId="33" xfId="0" applyNumberFormat="1" applyFont="1" applyBorder="1" applyAlignment="1"/>
    <xf numFmtId="2" fontId="0" fillId="0" borderId="32" xfId="0" applyNumberFormat="1" applyFont="1" applyBorder="1" applyAlignment="1"/>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10" fillId="8" borderId="0" xfId="0" applyFont="1" applyFill="1" applyAlignment="1">
      <alignment horizontal="center"/>
    </xf>
    <xf numFmtId="0" fontId="28" fillId="9" borderId="5" xfId="0" applyFont="1" applyFill="1" applyBorder="1" applyAlignment="1">
      <alignment horizontal="center"/>
    </xf>
    <xf numFmtId="0" fontId="28" fillId="9" borderId="1" xfId="0" applyFont="1" applyFill="1" applyBorder="1" applyAlignment="1">
      <alignment horizontal="center"/>
    </xf>
    <xf numFmtId="0" fontId="28" fillId="9" borderId="7" xfId="0" applyFont="1" applyFill="1" applyBorder="1" applyAlignment="1">
      <alignment horizontal="center"/>
    </xf>
    <xf numFmtId="0" fontId="28" fillId="4" borderId="12" xfId="0" applyFont="1" applyFill="1" applyBorder="1" applyAlignment="1">
      <alignment horizontal="center" wrapText="1"/>
    </xf>
    <xf numFmtId="0" fontId="28" fillId="4" borderId="13" xfId="0" applyFont="1" applyFill="1" applyBorder="1" applyAlignment="1">
      <alignment horizontal="center" wrapText="1"/>
    </xf>
    <xf numFmtId="0" fontId="28" fillId="4" borderId="14" xfId="0" applyFont="1" applyFill="1" applyBorder="1" applyAlignment="1">
      <alignment horizontal="center" wrapText="1"/>
    </xf>
    <xf numFmtId="0" fontId="0" fillId="10" borderId="0" xfId="0" applyFill="1" applyAlignment="1">
      <alignment horizontal="left" vertical="top" wrapText="1"/>
    </xf>
  </cellXfs>
  <cellStyles count="5">
    <cellStyle name="Komma" xfId="3" builtinId="3"/>
    <cellStyle name="Link" xfId="2" builtinId="8"/>
    <cellStyle name="Prozent" xfId="1" builtinId="5"/>
    <cellStyle name="Standard" xfId="0" builtinId="0"/>
    <cellStyle name="Standard_MMU-Analysetool" xfId="4"/>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89492"/>
      <color rgb="FFFF0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r>
              <a:rPr lang="de-CH" b="1"/>
              <a:t>Ecoscore [UCE]</a:t>
            </a:r>
          </a:p>
        </c:rich>
      </c:tx>
      <c:layout/>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manualLayout>
          <c:layoutTarget val="inner"/>
          <c:xMode val="edge"/>
          <c:yMode val="edge"/>
          <c:x val="3.3429246191469378E-2"/>
          <c:y val="4.2160075626404739E-2"/>
          <c:w val="0.96136063886078915"/>
          <c:h val="0.65015677132921268"/>
        </c:manualLayout>
      </c:layout>
      <c:stockChart>
        <c:ser>
          <c:idx val="0"/>
          <c:order val="0"/>
          <c:spPr>
            <a:ln w="25400" cap="rnd">
              <a:noFill/>
              <a:round/>
            </a:ln>
            <a:effectLst/>
          </c:spPr>
          <c:marker>
            <c:symbol val="circle"/>
            <c:size val="8"/>
            <c:spPr>
              <a:solidFill>
                <a:srgbClr val="00B050"/>
              </a:solidFill>
              <a:ln>
                <a:noFill/>
              </a:ln>
              <a:effectLst/>
            </c:spPr>
          </c:marker>
          <c:cat>
            <c:strRef>
              <c:f>'Liste et comparaison écogestes'!$C$3:$C$49</c:f>
              <c:strCache>
                <c:ptCount val="47"/>
                <c:pt idx="0">
                  <c:v>Paiement, e-banking, 1 paiement</c:v>
                </c:pt>
                <c:pt idx="1">
                  <c:v>Envoi email, 1 email, pièce jointe 1 Mo</c:v>
                </c:pt>
                <c:pt idx="2">
                  <c:v>Impression, noir et blanc, recto, 1 feuille A4</c:v>
                </c:pt>
                <c:pt idx="3">
                  <c:v>Ordinateur, usage bureautique, 1 h</c:v>
                </c:pt>
                <c:pt idx="4">
                  <c:v>Stockage, disque externe, 1000 photos, 1 an</c:v>
                </c:pt>
                <c:pt idx="5">
                  <c:v>Recherche, moteur de recherche, laptop, 100 recherches, 1 h</c:v>
                </c:pt>
                <c:pt idx="6">
                  <c:v>Stockage, cloud, 1000 photos, 1 an</c:v>
                </c:pt>
                <c:pt idx="7">
                  <c:v>Stockage, cloud, 1000 emails, 5 ans</c:v>
                </c:pt>
                <c:pt idx="8">
                  <c:v>Envoi email, 1000 emails, sans logo</c:v>
                </c:pt>
                <c:pt idx="9">
                  <c:v>Envoi email, 1000 emails, avec logo</c:v>
                </c:pt>
                <c:pt idx="10">
                  <c:v>Transmission, wifi, 1000 Mo</c:v>
                </c:pt>
                <c:pt idx="11">
                  <c:v>Transmission, wifi, 1 h</c:v>
                </c:pt>
                <c:pt idx="12">
                  <c:v>Transmission, fibre, 1000 Mo</c:v>
                </c:pt>
                <c:pt idx="13">
                  <c:v>Transmission, données mobiles, 1000 Mo</c:v>
                </c:pt>
                <c:pt idx="14">
                  <c:v>Discussion, par tele-conference, partage d'écran, SANS vidéo, 2 personnes, 1 h</c:v>
                </c:pt>
                <c:pt idx="15">
                  <c:v>Discussion, par tele-conference, partage d'écran, AVEC vidéo, 2 personnes, 1 h</c:v>
                </c:pt>
                <c:pt idx="16">
                  <c:v>Message texte, en ligne, 1 message</c:v>
                </c:pt>
                <c:pt idx="17">
                  <c:v>Appel, telephone portable, 1 h</c:v>
                </c:pt>
                <c:pt idx="18">
                  <c:v>Appel, telephone fixe, 1 h</c:v>
                </c:pt>
                <c:pt idx="19">
                  <c:v>Appel, telephone portable, whatsapp, 1 h</c:v>
                </c:pt>
                <c:pt idx="20">
                  <c:v>Message vocal, en ligne, whatsapp, 1 h</c:v>
                </c:pt>
                <c:pt idx="21">
                  <c:v>Transmission, 5G, 1000 Mo</c:v>
                </c:pt>
                <c:pt idx="22">
                  <c:v>Transmission, ADSL, 1000 Mo</c:v>
                </c:pt>
                <c:pt idx="23">
                  <c:v>Transmission, 4G, 1000 Mo</c:v>
                </c:pt>
                <c:pt idx="24">
                  <c:v>Eau bouillie, bouilloire, 1 L</c:v>
                </c:pt>
                <c:pt idx="25">
                  <c:v>Café, unité</c:v>
                </c:pt>
                <c:pt idx="26">
                  <c:v>Carottes suisses, cuites, 250 g</c:v>
                </c:pt>
                <c:pt idx="27">
                  <c:v>Chaussures, commande en ligne, une paire</c:v>
                </c:pt>
                <c:pt idx="28">
                  <c:v>Chaussures, achat en magasin, une paire</c:v>
                </c:pt>
                <c:pt idx="29">
                  <c:v>Entrecôte de boeuf suisse, 250 g</c:v>
                </c:pt>
                <c:pt idx="30">
                  <c:v>Chaussures, commande en ligne, trois paires, deux renvoyées et détruites</c:v>
                </c:pt>
                <c:pt idx="31">
                  <c:v>Lecture, newsletter mail, 300 ko, 10 min</c:v>
                </c:pt>
                <c:pt idx="32">
                  <c:v>Lecture, journal local, ordinateur, PDF téléchargé</c:v>
                </c:pt>
                <c:pt idx="33">
                  <c:v>Lecture, journal local, ordinateur, lecture en ligne</c:v>
                </c:pt>
                <c:pt idx="34">
                  <c:v>Lecture, journal local, papier</c:v>
                </c:pt>
                <c:pt idx="35">
                  <c:v>Lecture, roman e-book, 300 pages</c:v>
                </c:pt>
                <c:pt idx="36">
                  <c:v>Lecture, roman papier, achat en librairie, 300 pages</c:v>
                </c:pt>
                <c:pt idx="37">
                  <c:v>Lecture, roman papier, achat en ligne, 300 pages</c:v>
                </c:pt>
                <c:pt idx="38">
                  <c:v>Lecture, journal international, ordinateur, lecture en ligne</c:v>
                </c:pt>
                <c:pt idx="39">
                  <c:v>Lecture, journal international, papier</c:v>
                </c:pt>
                <c:pt idx="40">
                  <c:v>Ecoute, radio, live, FM, 1 h</c:v>
                </c:pt>
                <c:pt idx="41">
                  <c:v>Ecoute, musique, streaming, smartphone, 1 h</c:v>
                </c:pt>
                <c:pt idx="42">
                  <c:v>Video, streaming, smartphone, LD, 1 h</c:v>
                </c:pt>
                <c:pt idx="43">
                  <c:v>Ecoute, radio, live, laptop, 1 h</c:v>
                </c:pt>
                <c:pt idx="44">
                  <c:v>Ecoute, radio, replay, laptop, 1 h</c:v>
                </c:pt>
                <c:pt idx="45">
                  <c:v>Video, streaming, laptop, youtube, LD, 1 h</c:v>
                </c:pt>
                <c:pt idx="46">
                  <c:v>Video, live, smartphone, téléjournal, SD, 1 h</c:v>
                </c:pt>
              </c:strCache>
            </c:strRef>
          </c:cat>
          <c:val>
            <c:numRef>
              <c:f>'Liste et comparaison écogestes'!$H$3:$H$49</c:f>
              <c:numCache>
                <c:formatCode>0</c:formatCode>
                <c:ptCount val="47"/>
                <c:pt idx="0">
                  <c:v>4.5681808878244601</c:v>
                </c:pt>
                <c:pt idx="1">
                  <c:v>10.499639063324402</c:v>
                </c:pt>
                <c:pt idx="2">
                  <c:v>12.5922359177478</c:v>
                </c:pt>
                <c:pt idx="3">
                  <c:v>29.893633547256087</c:v>
                </c:pt>
                <c:pt idx="4">
                  <c:v>58.936062782308689</c:v>
                </c:pt>
                <c:pt idx="5">
                  <c:v>65.504203731589712</c:v>
                </c:pt>
                <c:pt idx="6">
                  <c:v>2385.129922564201</c:v>
                </c:pt>
                <c:pt idx="7">
                  <c:v>3101.5891657669667</c:v>
                </c:pt>
                <c:pt idx="8">
                  <c:v>7626.3133806981032</c:v>
                </c:pt>
                <c:pt idx="9">
                  <c:v>7694.5904610586485</c:v>
                </c:pt>
                <c:pt idx="10">
                  <c:v>1.2354844729472301</c:v>
                </c:pt>
                <c:pt idx="11">
                  <c:v>8.8954881776451415</c:v>
                </c:pt>
                <c:pt idx="12">
                  <c:v>23.447429895265422</c:v>
                </c:pt>
                <c:pt idx="13">
                  <c:v>88.23941135717611</c:v>
                </c:pt>
                <c:pt idx="14">
                  <c:v>88.318696496570112</c:v>
                </c:pt>
                <c:pt idx="15">
                  <c:v>115.08819806215908</c:v>
                </c:pt>
                <c:pt idx="16" formatCode="0.0">
                  <c:v>0.33099667958134404</c:v>
                </c:pt>
                <c:pt idx="17">
                  <c:v>11.977133861136949</c:v>
                </c:pt>
                <c:pt idx="18">
                  <c:v>13.465215331960669</c:v>
                </c:pt>
                <c:pt idx="19">
                  <c:v>13.93633574224204</c:v>
                </c:pt>
                <c:pt idx="20">
                  <c:v>15.2718451462299</c:v>
                </c:pt>
                <c:pt idx="21">
                  <c:v>29.744354649810532</c:v>
                </c:pt>
                <c:pt idx="22">
                  <c:v>63.609473438008408</c:v>
                </c:pt>
                <c:pt idx="23">
                  <c:v>292.97211279539545</c:v>
                </c:pt>
                <c:pt idx="24">
                  <c:v>67.467957083767303</c:v>
                </c:pt>
                <c:pt idx="25">
                  <c:v>395.68398394124301</c:v>
                </c:pt>
                <c:pt idx="26">
                  <c:v>980.50611467598947</c:v>
                </c:pt>
                <c:pt idx="27">
                  <c:v>21772.270294396087</c:v>
                </c:pt>
                <c:pt idx="28">
                  <c:v>22788.237501757012</c:v>
                </c:pt>
                <c:pt idx="29">
                  <c:v>27193.917519690509</c:v>
                </c:pt>
                <c:pt idx="30">
                  <c:v>65316.81096258825</c:v>
                </c:pt>
                <c:pt idx="31">
                  <c:v>7.8342110738352027</c:v>
                </c:pt>
                <c:pt idx="32">
                  <c:v>50.763252037322673</c:v>
                </c:pt>
                <c:pt idx="33">
                  <c:v>74.138500861070739</c:v>
                </c:pt>
                <c:pt idx="34">
                  <c:v>139.6695278322868</c:v>
                </c:pt>
                <c:pt idx="35">
                  <c:v>298.38669374595929</c:v>
                </c:pt>
                <c:pt idx="36">
                  <c:v>862.12903767869295</c:v>
                </c:pt>
                <c:pt idx="37">
                  <c:v>2254.4955109512716</c:v>
                </c:pt>
                <c:pt idx="38">
                  <c:v>74.138500861070739</c:v>
                </c:pt>
                <c:pt idx="39">
                  <c:v>937.170910924483</c:v>
                </c:pt>
                <c:pt idx="40">
                  <c:v>8.4566888560873181</c:v>
                </c:pt>
                <c:pt idx="41">
                  <c:v>24.68810649890937</c:v>
                </c:pt>
                <c:pt idx="42">
                  <c:v>33.512047632653974</c:v>
                </c:pt>
                <c:pt idx="43">
                  <c:v>46.352653807595956</c:v>
                </c:pt>
                <c:pt idx="44">
                  <c:v>55.413236272241924</c:v>
                </c:pt>
                <c:pt idx="45">
                  <c:v>63.045924441907516</c:v>
                </c:pt>
                <c:pt idx="46">
                  <c:v>72.124661835116797</c:v>
                </c:pt>
              </c:numCache>
            </c:numRef>
          </c:val>
          <c:smooth val="0"/>
          <c:extLst>
            <c:ext xmlns:c16="http://schemas.microsoft.com/office/drawing/2014/chart" uri="{C3380CC4-5D6E-409C-BE32-E72D297353CC}">
              <c16:uniqueId val="{00000000-ABFB-4484-9F79-D5ACC7C69F04}"/>
            </c:ext>
          </c:extLst>
        </c:ser>
        <c:ser>
          <c:idx val="1"/>
          <c:order val="1"/>
          <c:spPr>
            <a:ln w="25400" cap="rnd">
              <a:noFill/>
              <a:round/>
            </a:ln>
            <a:effectLst/>
          </c:spPr>
          <c:marker>
            <c:symbol val="dash"/>
            <c:size val="5"/>
            <c:spPr>
              <a:solidFill>
                <a:schemeClr val="tx1"/>
              </a:solidFill>
              <a:ln>
                <a:noFill/>
              </a:ln>
              <a:effectLst/>
            </c:spPr>
          </c:marker>
          <c:cat>
            <c:strRef>
              <c:f>'Liste et comparaison écogestes'!$C$3:$C$49</c:f>
              <c:strCache>
                <c:ptCount val="47"/>
                <c:pt idx="0">
                  <c:v>Paiement, e-banking, 1 paiement</c:v>
                </c:pt>
                <c:pt idx="1">
                  <c:v>Envoi email, 1 email, pièce jointe 1 Mo</c:v>
                </c:pt>
                <c:pt idx="2">
                  <c:v>Impression, noir et blanc, recto, 1 feuille A4</c:v>
                </c:pt>
                <c:pt idx="3">
                  <c:v>Ordinateur, usage bureautique, 1 h</c:v>
                </c:pt>
                <c:pt idx="4">
                  <c:v>Stockage, disque externe, 1000 photos, 1 an</c:v>
                </c:pt>
                <c:pt idx="5">
                  <c:v>Recherche, moteur de recherche, laptop, 100 recherches, 1 h</c:v>
                </c:pt>
                <c:pt idx="6">
                  <c:v>Stockage, cloud, 1000 photos, 1 an</c:v>
                </c:pt>
                <c:pt idx="7">
                  <c:v>Stockage, cloud, 1000 emails, 5 ans</c:v>
                </c:pt>
                <c:pt idx="8">
                  <c:v>Envoi email, 1000 emails, sans logo</c:v>
                </c:pt>
                <c:pt idx="9">
                  <c:v>Envoi email, 1000 emails, avec logo</c:v>
                </c:pt>
                <c:pt idx="10">
                  <c:v>Transmission, wifi, 1000 Mo</c:v>
                </c:pt>
                <c:pt idx="11">
                  <c:v>Transmission, wifi, 1 h</c:v>
                </c:pt>
                <c:pt idx="12">
                  <c:v>Transmission, fibre, 1000 Mo</c:v>
                </c:pt>
                <c:pt idx="13">
                  <c:v>Transmission, données mobiles, 1000 Mo</c:v>
                </c:pt>
                <c:pt idx="14">
                  <c:v>Discussion, par tele-conference, partage d'écran, SANS vidéo, 2 personnes, 1 h</c:v>
                </c:pt>
                <c:pt idx="15">
                  <c:v>Discussion, par tele-conference, partage d'écran, AVEC vidéo, 2 personnes, 1 h</c:v>
                </c:pt>
                <c:pt idx="16">
                  <c:v>Message texte, en ligne, 1 message</c:v>
                </c:pt>
                <c:pt idx="17">
                  <c:v>Appel, telephone portable, 1 h</c:v>
                </c:pt>
                <c:pt idx="18">
                  <c:v>Appel, telephone fixe, 1 h</c:v>
                </c:pt>
                <c:pt idx="19">
                  <c:v>Appel, telephone portable, whatsapp, 1 h</c:v>
                </c:pt>
                <c:pt idx="20">
                  <c:v>Message vocal, en ligne, whatsapp, 1 h</c:v>
                </c:pt>
                <c:pt idx="21">
                  <c:v>Transmission, 5G, 1000 Mo</c:v>
                </c:pt>
                <c:pt idx="22">
                  <c:v>Transmission, ADSL, 1000 Mo</c:v>
                </c:pt>
                <c:pt idx="23">
                  <c:v>Transmission, 4G, 1000 Mo</c:v>
                </c:pt>
                <c:pt idx="24">
                  <c:v>Eau bouillie, bouilloire, 1 L</c:v>
                </c:pt>
                <c:pt idx="25">
                  <c:v>Café, unité</c:v>
                </c:pt>
                <c:pt idx="26">
                  <c:v>Carottes suisses, cuites, 250 g</c:v>
                </c:pt>
                <c:pt idx="27">
                  <c:v>Chaussures, commande en ligne, une paire</c:v>
                </c:pt>
                <c:pt idx="28">
                  <c:v>Chaussures, achat en magasin, une paire</c:v>
                </c:pt>
                <c:pt idx="29">
                  <c:v>Entrecôte de boeuf suisse, 250 g</c:v>
                </c:pt>
                <c:pt idx="30">
                  <c:v>Chaussures, commande en ligne, trois paires, deux renvoyées et détruites</c:v>
                </c:pt>
                <c:pt idx="31">
                  <c:v>Lecture, newsletter mail, 300 ko, 10 min</c:v>
                </c:pt>
                <c:pt idx="32">
                  <c:v>Lecture, journal local, ordinateur, PDF téléchargé</c:v>
                </c:pt>
                <c:pt idx="33">
                  <c:v>Lecture, journal local, ordinateur, lecture en ligne</c:v>
                </c:pt>
                <c:pt idx="34">
                  <c:v>Lecture, journal local, papier</c:v>
                </c:pt>
                <c:pt idx="35">
                  <c:v>Lecture, roman e-book, 300 pages</c:v>
                </c:pt>
                <c:pt idx="36">
                  <c:v>Lecture, roman papier, achat en librairie, 300 pages</c:v>
                </c:pt>
                <c:pt idx="37">
                  <c:v>Lecture, roman papier, achat en ligne, 300 pages</c:v>
                </c:pt>
                <c:pt idx="38">
                  <c:v>Lecture, journal international, ordinateur, lecture en ligne</c:v>
                </c:pt>
                <c:pt idx="39">
                  <c:v>Lecture, journal international, papier</c:v>
                </c:pt>
                <c:pt idx="40">
                  <c:v>Ecoute, radio, live, FM, 1 h</c:v>
                </c:pt>
                <c:pt idx="41">
                  <c:v>Ecoute, musique, streaming, smartphone, 1 h</c:v>
                </c:pt>
                <c:pt idx="42">
                  <c:v>Video, streaming, smartphone, LD, 1 h</c:v>
                </c:pt>
                <c:pt idx="43">
                  <c:v>Ecoute, radio, live, laptop, 1 h</c:v>
                </c:pt>
                <c:pt idx="44">
                  <c:v>Ecoute, radio, replay, laptop, 1 h</c:v>
                </c:pt>
                <c:pt idx="45">
                  <c:v>Video, streaming, laptop, youtube, LD, 1 h</c:v>
                </c:pt>
                <c:pt idx="46">
                  <c:v>Video, live, smartphone, téléjournal, SD, 1 h</c:v>
                </c:pt>
              </c:strCache>
            </c:strRef>
          </c:cat>
          <c:val>
            <c:numRef>
              <c:f>'Liste et comparaison écogestes'!$K$3:$K$49</c:f>
              <c:numCache>
                <c:formatCode>0</c:formatCode>
                <c:ptCount val="47"/>
                <c:pt idx="0">
                  <c:v>2.28409044391223</c:v>
                </c:pt>
                <c:pt idx="1">
                  <c:v>5.2498195316622009</c:v>
                </c:pt>
                <c:pt idx="2">
                  <c:v>8.8145651424234597</c:v>
                </c:pt>
                <c:pt idx="3">
                  <c:v>20.925543483079259</c:v>
                </c:pt>
                <c:pt idx="4">
                  <c:v>29.468031391154344</c:v>
                </c:pt>
                <c:pt idx="5">
                  <c:v>32.752101865794856</c:v>
                </c:pt>
                <c:pt idx="6">
                  <c:v>596.28248064105026</c:v>
                </c:pt>
                <c:pt idx="7">
                  <c:v>775.39729144174169</c:v>
                </c:pt>
                <c:pt idx="8">
                  <c:v>3813.1566903490516</c:v>
                </c:pt>
                <c:pt idx="9">
                  <c:v>3847.2952305293243</c:v>
                </c:pt>
                <c:pt idx="10" formatCode="0.0000">
                  <c:v>0.86483913106306098</c:v>
                </c:pt>
                <c:pt idx="11">
                  <c:v>8.0059393598806281</c:v>
                </c:pt>
                <c:pt idx="12">
                  <c:v>11.723714947632711</c:v>
                </c:pt>
                <c:pt idx="13">
                  <c:v>44.119705678588055</c:v>
                </c:pt>
                <c:pt idx="14">
                  <c:v>61.82308754759908</c:v>
                </c:pt>
                <c:pt idx="15">
                  <c:v>69.052918837295437</c:v>
                </c:pt>
                <c:pt idx="24">
                  <c:v>53.974365667013842</c:v>
                </c:pt>
                <c:pt idx="25">
                  <c:v>276.97878875887011</c:v>
                </c:pt>
                <c:pt idx="26">
                  <c:v>490.25305733799473</c:v>
                </c:pt>
                <c:pt idx="27">
                  <c:v>10886.135147198043</c:v>
                </c:pt>
                <c:pt idx="28">
                  <c:v>11394.118750878506</c:v>
                </c:pt>
                <c:pt idx="29">
                  <c:v>13596.958759845254</c:v>
                </c:pt>
                <c:pt idx="30">
                  <c:v>32658.405481294125</c:v>
                </c:pt>
                <c:pt idx="31">
                  <c:v>3.9171055369176013</c:v>
                </c:pt>
                <c:pt idx="32">
                  <c:v>25.381626018661336</c:v>
                </c:pt>
                <c:pt idx="33">
                  <c:v>44.483100516642438</c:v>
                </c:pt>
                <c:pt idx="34">
                  <c:v>97.768669482600757</c:v>
                </c:pt>
                <c:pt idx="35">
                  <c:v>149.19334687297965</c:v>
                </c:pt>
                <c:pt idx="36">
                  <c:v>603.49032637508503</c:v>
                </c:pt>
                <c:pt idx="37">
                  <c:v>450.89910219025433</c:v>
                </c:pt>
                <c:pt idx="40">
                  <c:v>4.2283444280436591</c:v>
                </c:pt>
                <c:pt idx="41">
                  <c:v>12.344053249454685</c:v>
                </c:pt>
                <c:pt idx="42">
                  <c:v>16.756023816326987</c:v>
                </c:pt>
                <c:pt idx="43">
                  <c:v>23.176326903797978</c:v>
                </c:pt>
                <c:pt idx="44">
                  <c:v>27.706618136120962</c:v>
                </c:pt>
                <c:pt idx="45">
                  <c:v>31.522962220953758</c:v>
                </c:pt>
                <c:pt idx="46">
                  <c:v>36.062330917558398</c:v>
                </c:pt>
              </c:numCache>
            </c:numRef>
          </c:val>
          <c:smooth val="0"/>
          <c:extLst>
            <c:ext xmlns:c16="http://schemas.microsoft.com/office/drawing/2014/chart" uri="{C3380CC4-5D6E-409C-BE32-E72D297353CC}">
              <c16:uniqueId val="{00000001-ABFB-4484-9F79-D5ACC7C69F04}"/>
            </c:ext>
          </c:extLst>
        </c:ser>
        <c:ser>
          <c:idx val="2"/>
          <c:order val="2"/>
          <c:spPr>
            <a:ln w="25400" cap="rnd">
              <a:noFill/>
              <a:round/>
            </a:ln>
            <a:effectLst/>
          </c:spPr>
          <c:marker>
            <c:symbol val="dash"/>
            <c:size val="5"/>
            <c:spPr>
              <a:solidFill>
                <a:schemeClr val="tx1"/>
              </a:solidFill>
              <a:ln>
                <a:noFill/>
              </a:ln>
              <a:effectLst/>
            </c:spPr>
          </c:marker>
          <c:cat>
            <c:strRef>
              <c:f>'Liste et comparaison écogestes'!$C$3:$C$49</c:f>
              <c:strCache>
                <c:ptCount val="47"/>
                <c:pt idx="0">
                  <c:v>Paiement, e-banking, 1 paiement</c:v>
                </c:pt>
                <c:pt idx="1">
                  <c:v>Envoi email, 1 email, pièce jointe 1 Mo</c:v>
                </c:pt>
                <c:pt idx="2">
                  <c:v>Impression, noir et blanc, recto, 1 feuille A4</c:v>
                </c:pt>
                <c:pt idx="3">
                  <c:v>Ordinateur, usage bureautique, 1 h</c:v>
                </c:pt>
                <c:pt idx="4">
                  <c:v>Stockage, disque externe, 1000 photos, 1 an</c:v>
                </c:pt>
                <c:pt idx="5">
                  <c:v>Recherche, moteur de recherche, laptop, 100 recherches, 1 h</c:v>
                </c:pt>
                <c:pt idx="6">
                  <c:v>Stockage, cloud, 1000 photos, 1 an</c:v>
                </c:pt>
                <c:pt idx="7">
                  <c:v>Stockage, cloud, 1000 emails, 5 ans</c:v>
                </c:pt>
                <c:pt idx="8">
                  <c:v>Envoi email, 1000 emails, sans logo</c:v>
                </c:pt>
                <c:pt idx="9">
                  <c:v>Envoi email, 1000 emails, avec logo</c:v>
                </c:pt>
                <c:pt idx="10">
                  <c:v>Transmission, wifi, 1000 Mo</c:v>
                </c:pt>
                <c:pt idx="11">
                  <c:v>Transmission, wifi, 1 h</c:v>
                </c:pt>
                <c:pt idx="12">
                  <c:v>Transmission, fibre, 1000 Mo</c:v>
                </c:pt>
                <c:pt idx="13">
                  <c:v>Transmission, données mobiles, 1000 Mo</c:v>
                </c:pt>
                <c:pt idx="14">
                  <c:v>Discussion, par tele-conference, partage d'écran, SANS vidéo, 2 personnes, 1 h</c:v>
                </c:pt>
                <c:pt idx="15">
                  <c:v>Discussion, par tele-conference, partage d'écran, AVEC vidéo, 2 personnes, 1 h</c:v>
                </c:pt>
                <c:pt idx="16">
                  <c:v>Message texte, en ligne, 1 message</c:v>
                </c:pt>
                <c:pt idx="17">
                  <c:v>Appel, telephone portable, 1 h</c:v>
                </c:pt>
                <c:pt idx="18">
                  <c:v>Appel, telephone fixe, 1 h</c:v>
                </c:pt>
                <c:pt idx="19">
                  <c:v>Appel, telephone portable, whatsapp, 1 h</c:v>
                </c:pt>
                <c:pt idx="20">
                  <c:v>Message vocal, en ligne, whatsapp, 1 h</c:v>
                </c:pt>
                <c:pt idx="21">
                  <c:v>Transmission, 5G, 1000 Mo</c:v>
                </c:pt>
                <c:pt idx="22">
                  <c:v>Transmission, ADSL, 1000 Mo</c:v>
                </c:pt>
                <c:pt idx="23">
                  <c:v>Transmission, 4G, 1000 Mo</c:v>
                </c:pt>
                <c:pt idx="24">
                  <c:v>Eau bouillie, bouilloire, 1 L</c:v>
                </c:pt>
                <c:pt idx="25">
                  <c:v>Café, unité</c:v>
                </c:pt>
                <c:pt idx="26">
                  <c:v>Carottes suisses, cuites, 250 g</c:v>
                </c:pt>
                <c:pt idx="27">
                  <c:v>Chaussures, commande en ligne, une paire</c:v>
                </c:pt>
                <c:pt idx="28">
                  <c:v>Chaussures, achat en magasin, une paire</c:v>
                </c:pt>
                <c:pt idx="29">
                  <c:v>Entrecôte de boeuf suisse, 250 g</c:v>
                </c:pt>
                <c:pt idx="30">
                  <c:v>Chaussures, commande en ligne, trois paires, deux renvoyées et détruites</c:v>
                </c:pt>
                <c:pt idx="31">
                  <c:v>Lecture, newsletter mail, 300 ko, 10 min</c:v>
                </c:pt>
                <c:pt idx="32">
                  <c:v>Lecture, journal local, ordinateur, PDF téléchargé</c:v>
                </c:pt>
                <c:pt idx="33">
                  <c:v>Lecture, journal local, ordinateur, lecture en ligne</c:v>
                </c:pt>
                <c:pt idx="34">
                  <c:v>Lecture, journal local, papier</c:v>
                </c:pt>
                <c:pt idx="35">
                  <c:v>Lecture, roman e-book, 300 pages</c:v>
                </c:pt>
                <c:pt idx="36">
                  <c:v>Lecture, roman papier, achat en librairie, 300 pages</c:v>
                </c:pt>
                <c:pt idx="37">
                  <c:v>Lecture, roman papier, achat en ligne, 300 pages</c:v>
                </c:pt>
                <c:pt idx="38">
                  <c:v>Lecture, journal international, ordinateur, lecture en ligne</c:v>
                </c:pt>
                <c:pt idx="39">
                  <c:v>Lecture, journal international, papier</c:v>
                </c:pt>
                <c:pt idx="40">
                  <c:v>Ecoute, radio, live, FM, 1 h</c:v>
                </c:pt>
                <c:pt idx="41">
                  <c:v>Ecoute, musique, streaming, smartphone, 1 h</c:v>
                </c:pt>
                <c:pt idx="42">
                  <c:v>Video, streaming, smartphone, LD, 1 h</c:v>
                </c:pt>
                <c:pt idx="43">
                  <c:v>Ecoute, radio, live, laptop, 1 h</c:v>
                </c:pt>
                <c:pt idx="44">
                  <c:v>Ecoute, radio, replay, laptop, 1 h</c:v>
                </c:pt>
                <c:pt idx="45">
                  <c:v>Video, streaming, laptop, youtube, LD, 1 h</c:v>
                </c:pt>
                <c:pt idx="46">
                  <c:v>Video, live, smartphone, téléjournal, SD, 1 h</c:v>
                </c:pt>
              </c:strCache>
            </c:strRef>
          </c:cat>
          <c:val>
            <c:numRef>
              <c:f>'Liste et comparaison écogestes'!$L$3:$L$49</c:f>
              <c:numCache>
                <c:formatCode>0</c:formatCode>
                <c:ptCount val="47"/>
                <c:pt idx="0">
                  <c:v>6.8522713317366897</c:v>
                </c:pt>
                <c:pt idx="1">
                  <c:v>20.999278126648804</c:v>
                </c:pt>
                <c:pt idx="2">
                  <c:v>16.369906693072139</c:v>
                </c:pt>
                <c:pt idx="3">
                  <c:v>38.861723611432915</c:v>
                </c:pt>
                <c:pt idx="4">
                  <c:v>88.404094173463037</c:v>
                </c:pt>
                <c:pt idx="5">
                  <c:v>98.256305597384568</c:v>
                </c:pt>
                <c:pt idx="6">
                  <c:v>9540.5196902568041</c:v>
                </c:pt>
                <c:pt idx="7">
                  <c:v>12406.356663067867</c:v>
                </c:pt>
                <c:pt idx="8">
                  <c:v>15252.626761396206</c:v>
                </c:pt>
                <c:pt idx="9">
                  <c:v>15389.180922117297</c:v>
                </c:pt>
                <c:pt idx="10" formatCode="0.0000">
                  <c:v>1.6061298148313992</c:v>
                </c:pt>
                <c:pt idx="11">
                  <c:v>9.785036995409655</c:v>
                </c:pt>
                <c:pt idx="12">
                  <c:v>46.894859790530845</c:v>
                </c:pt>
                <c:pt idx="13">
                  <c:v>176.47882271435222</c:v>
                </c:pt>
                <c:pt idx="14">
                  <c:v>114.81430544554115</c:v>
                </c:pt>
                <c:pt idx="15">
                  <c:v>161.12347728702272</c:v>
                </c:pt>
                <c:pt idx="24">
                  <c:v>80.961548500520763</c:v>
                </c:pt>
                <c:pt idx="25">
                  <c:v>514.38917912361592</c:v>
                </c:pt>
                <c:pt idx="26">
                  <c:v>1961.0122293519789</c:v>
                </c:pt>
                <c:pt idx="27">
                  <c:v>32658.405441594128</c:v>
                </c:pt>
                <c:pt idx="28">
                  <c:v>34182.356252635516</c:v>
                </c:pt>
                <c:pt idx="29">
                  <c:v>54387.835039381018</c:v>
                </c:pt>
                <c:pt idx="30">
                  <c:v>97975.216443882382</c:v>
                </c:pt>
                <c:pt idx="31">
                  <c:v>11.751316610752804</c:v>
                </c:pt>
                <c:pt idx="32">
                  <c:v>76.144878055984009</c:v>
                </c:pt>
                <c:pt idx="33">
                  <c:v>103.79390120549904</c:v>
                </c:pt>
                <c:pt idx="34">
                  <c:v>181.57038618197285</c:v>
                </c:pt>
                <c:pt idx="35">
                  <c:v>596.77338749191858</c:v>
                </c:pt>
                <c:pt idx="36">
                  <c:v>1120.7677489823009</c:v>
                </c:pt>
                <c:pt idx="37">
                  <c:v>11272.477554756359</c:v>
                </c:pt>
                <c:pt idx="40">
                  <c:v>16.913377712174636</c:v>
                </c:pt>
                <c:pt idx="41">
                  <c:v>37.032159748364052</c:v>
                </c:pt>
                <c:pt idx="42">
                  <c:v>67.024095265307949</c:v>
                </c:pt>
                <c:pt idx="43">
                  <c:v>69.528980711393928</c:v>
                </c:pt>
                <c:pt idx="44">
                  <c:v>83.119854408362883</c:v>
                </c:pt>
                <c:pt idx="45">
                  <c:v>126.09184888381503</c:v>
                </c:pt>
                <c:pt idx="46">
                  <c:v>144.24932367023359</c:v>
                </c:pt>
              </c:numCache>
            </c:numRef>
          </c:val>
          <c:smooth val="0"/>
          <c:extLst>
            <c:ext xmlns:c16="http://schemas.microsoft.com/office/drawing/2014/chart" uri="{C3380CC4-5D6E-409C-BE32-E72D297353CC}">
              <c16:uniqueId val="{00000002-ABFB-4484-9F79-D5ACC7C69F04}"/>
            </c:ext>
          </c:extLst>
        </c:ser>
        <c:dLbls>
          <c:showLegendKey val="0"/>
          <c:showVal val="0"/>
          <c:showCatName val="0"/>
          <c:showSerName val="0"/>
          <c:showPercent val="0"/>
          <c:showBubbleSize val="0"/>
        </c:dLbls>
        <c:hiLowLines>
          <c:spPr>
            <a:ln w="25400" cap="flat" cmpd="sng" algn="ctr">
              <a:solidFill>
                <a:schemeClr val="tx1">
                  <a:lumMod val="65000"/>
                  <a:lumOff val="35000"/>
                </a:schemeClr>
              </a:solidFill>
              <a:round/>
            </a:ln>
            <a:effectLst/>
          </c:spPr>
        </c:hiLowLines>
        <c:axId val="638097768"/>
        <c:axId val="638095800"/>
      </c:stockChart>
      <c:catAx>
        <c:axId val="638097768"/>
        <c:scaling>
          <c:orientation val="minMax"/>
        </c:scaling>
        <c:delete val="0"/>
        <c:axPos val="b"/>
        <c:numFmt formatCode="General" sourceLinked="1"/>
        <c:majorTickMark val="none"/>
        <c:minorTickMark val="none"/>
        <c:tickLblPos val="nextTo"/>
        <c:spPr>
          <a:noFill/>
          <a:ln w="9525" cap="flat" cmpd="sng" algn="ctr">
            <a:solidFill>
              <a:schemeClr val="tx1">
                <a:lumMod val="35000"/>
                <a:lumOff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de-DE"/>
          </a:p>
        </c:txPr>
        <c:crossAx val="638095800"/>
        <c:crossesAt val="0.1"/>
        <c:auto val="1"/>
        <c:lblAlgn val="ctr"/>
        <c:lblOffset val="100"/>
        <c:noMultiLvlLbl val="0"/>
      </c:catAx>
      <c:valAx>
        <c:axId val="638095800"/>
        <c:scaling>
          <c:orientation val="minMax"/>
          <c:max val="3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638097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r>
              <a:rPr lang="de-CH" b="1"/>
              <a:t>Empreinte Carbone [CO2</a:t>
            </a:r>
            <a:r>
              <a:rPr lang="de-CH" b="1" baseline="0"/>
              <a:t> en kg]</a:t>
            </a:r>
            <a:endParaRPr lang="de-CH" b="1"/>
          </a:p>
        </c:rich>
      </c:tx>
      <c:layout/>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manualLayout>
          <c:layoutTarget val="inner"/>
          <c:xMode val="edge"/>
          <c:yMode val="edge"/>
          <c:x val="3.3429246191469378E-2"/>
          <c:y val="4.2160075626404739E-2"/>
          <c:w val="0.96136063886078915"/>
          <c:h val="0.65015677132921268"/>
        </c:manualLayout>
      </c:layout>
      <c:stockChart>
        <c:ser>
          <c:idx val="0"/>
          <c:order val="0"/>
          <c:spPr>
            <a:ln w="25400" cap="rnd">
              <a:noFill/>
              <a:round/>
            </a:ln>
            <a:effectLst/>
          </c:spPr>
          <c:marker>
            <c:symbol val="circle"/>
            <c:size val="8"/>
            <c:spPr>
              <a:solidFill>
                <a:srgbClr val="00B050"/>
              </a:solidFill>
              <a:ln>
                <a:noFill/>
              </a:ln>
              <a:effectLst/>
            </c:spPr>
          </c:marker>
          <c:cat>
            <c:strRef>
              <c:f>'Liste et comparaison écogestes'!$C$3:$C$49</c:f>
              <c:strCache>
                <c:ptCount val="47"/>
                <c:pt idx="0">
                  <c:v>Paiement, e-banking, 1 paiement</c:v>
                </c:pt>
                <c:pt idx="1">
                  <c:v>Envoi email, 1 email, pièce jointe 1 Mo</c:v>
                </c:pt>
                <c:pt idx="2">
                  <c:v>Impression, noir et blanc, recto, 1 feuille A4</c:v>
                </c:pt>
                <c:pt idx="3">
                  <c:v>Ordinateur, usage bureautique, 1 h</c:v>
                </c:pt>
                <c:pt idx="4">
                  <c:v>Stockage, disque externe, 1000 photos, 1 an</c:v>
                </c:pt>
                <c:pt idx="5">
                  <c:v>Recherche, moteur de recherche, laptop, 100 recherches, 1 h</c:v>
                </c:pt>
                <c:pt idx="6">
                  <c:v>Stockage, cloud, 1000 photos, 1 an</c:v>
                </c:pt>
                <c:pt idx="7">
                  <c:v>Stockage, cloud, 1000 emails, 5 ans</c:v>
                </c:pt>
                <c:pt idx="8">
                  <c:v>Envoi email, 1000 emails, sans logo</c:v>
                </c:pt>
                <c:pt idx="9">
                  <c:v>Envoi email, 1000 emails, avec logo</c:v>
                </c:pt>
                <c:pt idx="10">
                  <c:v>Transmission, wifi, 1000 Mo</c:v>
                </c:pt>
                <c:pt idx="11">
                  <c:v>Transmission, wifi, 1 h</c:v>
                </c:pt>
                <c:pt idx="12">
                  <c:v>Transmission, fibre, 1000 Mo</c:v>
                </c:pt>
                <c:pt idx="13">
                  <c:v>Transmission, données mobiles, 1000 Mo</c:v>
                </c:pt>
                <c:pt idx="14">
                  <c:v>Discussion, par tele-conference, partage d'écran, SANS vidéo, 2 personnes, 1 h</c:v>
                </c:pt>
                <c:pt idx="15">
                  <c:v>Discussion, par tele-conference, partage d'écran, AVEC vidéo, 2 personnes, 1 h</c:v>
                </c:pt>
                <c:pt idx="16">
                  <c:v>Message texte, en ligne, 1 message</c:v>
                </c:pt>
                <c:pt idx="17">
                  <c:v>Appel, telephone portable, 1 h</c:v>
                </c:pt>
                <c:pt idx="18">
                  <c:v>Appel, telephone fixe, 1 h</c:v>
                </c:pt>
                <c:pt idx="19">
                  <c:v>Appel, telephone portable, whatsapp, 1 h</c:v>
                </c:pt>
                <c:pt idx="20">
                  <c:v>Message vocal, en ligne, whatsapp, 1 h</c:v>
                </c:pt>
                <c:pt idx="21">
                  <c:v>Transmission, 5G, 1000 Mo</c:v>
                </c:pt>
                <c:pt idx="22">
                  <c:v>Transmission, ADSL, 1000 Mo</c:v>
                </c:pt>
                <c:pt idx="23">
                  <c:v>Transmission, 4G, 1000 Mo</c:v>
                </c:pt>
                <c:pt idx="24">
                  <c:v>Eau bouillie, bouilloire, 1 L</c:v>
                </c:pt>
                <c:pt idx="25">
                  <c:v>Café, unité</c:v>
                </c:pt>
                <c:pt idx="26">
                  <c:v>Carottes suisses, cuites, 250 g</c:v>
                </c:pt>
                <c:pt idx="27">
                  <c:v>Chaussures, commande en ligne, une paire</c:v>
                </c:pt>
                <c:pt idx="28">
                  <c:v>Chaussures, achat en magasin, une paire</c:v>
                </c:pt>
                <c:pt idx="29">
                  <c:v>Entrecôte de boeuf suisse, 250 g</c:v>
                </c:pt>
                <c:pt idx="30">
                  <c:v>Chaussures, commande en ligne, trois paires, deux renvoyées et détruites</c:v>
                </c:pt>
                <c:pt idx="31">
                  <c:v>Lecture, newsletter mail, 300 ko, 10 min</c:v>
                </c:pt>
                <c:pt idx="32">
                  <c:v>Lecture, journal local, ordinateur, PDF téléchargé</c:v>
                </c:pt>
                <c:pt idx="33">
                  <c:v>Lecture, journal local, ordinateur, lecture en ligne</c:v>
                </c:pt>
                <c:pt idx="34">
                  <c:v>Lecture, journal local, papier</c:v>
                </c:pt>
                <c:pt idx="35">
                  <c:v>Lecture, roman e-book, 300 pages</c:v>
                </c:pt>
                <c:pt idx="36">
                  <c:v>Lecture, roman papier, achat en librairie, 300 pages</c:v>
                </c:pt>
                <c:pt idx="37">
                  <c:v>Lecture, roman papier, achat en ligne, 300 pages</c:v>
                </c:pt>
                <c:pt idx="38">
                  <c:v>Lecture, journal international, ordinateur, lecture en ligne</c:v>
                </c:pt>
                <c:pt idx="39">
                  <c:v>Lecture, journal international, papier</c:v>
                </c:pt>
                <c:pt idx="40">
                  <c:v>Ecoute, radio, live, FM, 1 h</c:v>
                </c:pt>
                <c:pt idx="41">
                  <c:v>Ecoute, musique, streaming, smartphone, 1 h</c:v>
                </c:pt>
                <c:pt idx="42">
                  <c:v>Video, streaming, smartphone, LD, 1 h</c:v>
                </c:pt>
                <c:pt idx="43">
                  <c:v>Ecoute, radio, live, laptop, 1 h</c:v>
                </c:pt>
                <c:pt idx="44">
                  <c:v>Ecoute, radio, replay, laptop, 1 h</c:v>
                </c:pt>
                <c:pt idx="45">
                  <c:v>Video, streaming, laptop, youtube, LD, 1 h</c:v>
                </c:pt>
                <c:pt idx="46">
                  <c:v>Video, live, smartphone, téléjournal, SD, 1 h</c:v>
                </c:pt>
              </c:strCache>
            </c:strRef>
          </c:cat>
          <c:val>
            <c:numRef>
              <c:f>'Liste et comparaison écogestes'!$G$3:$G$49</c:f>
              <c:numCache>
                <c:formatCode>0.000</c:formatCode>
                <c:ptCount val="47"/>
                <c:pt idx="0">
                  <c:v>3.19302E-3</c:v>
                </c:pt>
                <c:pt idx="1">
                  <c:v>8.1682391000000003E-3</c:v>
                </c:pt>
                <c:pt idx="2">
                  <c:v>6.8896838E-3</c:v>
                </c:pt>
                <c:pt idx="3">
                  <c:v>1.5912835E-2</c:v>
                </c:pt>
                <c:pt idx="4">
                  <c:v>3.7867954000000002E-2</c:v>
                </c:pt>
                <c:pt idx="5">
                  <c:v>4.7456012999999998E-2</c:v>
                </c:pt>
                <c:pt idx="6">
                  <c:v>2.109</c:v>
                </c:pt>
                <c:pt idx="7">
                  <c:v>2.75</c:v>
                </c:pt>
                <c:pt idx="8">
                  <c:v>5.6204077000000003</c:v>
                </c:pt>
                <c:pt idx="9">
                  <c:v>5.6809501999999998</c:v>
                </c:pt>
                <c:pt idx="10">
                  <c:v>1.2074647999999999E-3</c:v>
                </c:pt>
                <c:pt idx="11">
                  <c:v>8.6937461999999997E-3</c:v>
                </c:pt>
                <c:pt idx="12">
                  <c:v>2.3422274999999999E-2</c:v>
                </c:pt>
                <c:pt idx="13">
                  <c:v>8.7977629000000002E-2</c:v>
                </c:pt>
                <c:pt idx="14">
                  <c:v>5.8967672999999998E-2</c:v>
                </c:pt>
                <c:pt idx="15">
                  <c:v>8.2431844000000004E-2</c:v>
                </c:pt>
                <c:pt idx="16" formatCode="0.0000">
                  <c:v>2.3910058E-4</c:v>
                </c:pt>
                <c:pt idx="17">
                  <c:v>9.2205654000000001E-3</c:v>
                </c:pt>
                <c:pt idx="18">
                  <c:v>1.3372922000000001E-2</c:v>
                </c:pt>
                <c:pt idx="19">
                  <c:v>1.1167678E-2</c:v>
                </c:pt>
                <c:pt idx="20">
                  <c:v>1.2499263E-2</c:v>
                </c:pt>
                <c:pt idx="21">
                  <c:v>2.9473590000000001E-2</c:v>
                </c:pt>
                <c:pt idx="22">
                  <c:v>5.3944858999999998E-2</c:v>
                </c:pt>
                <c:pt idx="23">
                  <c:v>0.29274176000000002</c:v>
                </c:pt>
                <c:pt idx="24">
                  <c:v>6.4807813000000006E-2</c:v>
                </c:pt>
                <c:pt idx="25">
                  <c:v>0.12650078000000001</c:v>
                </c:pt>
                <c:pt idx="26">
                  <c:v>0.25401742999999999</c:v>
                </c:pt>
                <c:pt idx="27">
                  <c:v>10.735939</c:v>
                </c:pt>
                <c:pt idx="28">
                  <c:v>11.481553</c:v>
                </c:pt>
                <c:pt idx="29">
                  <c:v>14.265369</c:v>
                </c:pt>
                <c:pt idx="30">
                  <c:v>32.207816999999999</c:v>
                </c:pt>
                <c:pt idx="31">
                  <c:v>5.3150000000000003E-3</c:v>
                </c:pt>
                <c:pt idx="32">
                  <c:v>3.5199714999999999E-2</c:v>
                </c:pt>
                <c:pt idx="33">
                  <c:v>5.5192583000000003E-2</c:v>
                </c:pt>
                <c:pt idx="34">
                  <c:v>0.10280913999999999</c:v>
                </c:pt>
                <c:pt idx="35">
                  <c:v>0.15890000000000001</c:v>
                </c:pt>
                <c:pt idx="36">
                  <c:v>0.51648035999999997</c:v>
                </c:pt>
                <c:pt idx="37">
                  <c:v>2.8064467</c:v>
                </c:pt>
                <c:pt idx="38">
                  <c:v>5.5192583000000003E-2</c:v>
                </c:pt>
                <c:pt idx="39">
                  <c:v>1.4641096</c:v>
                </c:pt>
                <c:pt idx="40">
                  <c:v>9.9516740000000006E-3</c:v>
                </c:pt>
                <c:pt idx="41">
                  <c:v>2.2048029E-2</c:v>
                </c:pt>
                <c:pt idx="42">
                  <c:v>3.0845792E-2</c:v>
                </c:pt>
                <c:pt idx="43">
                  <c:v>3.1121656000000001E-2</c:v>
                </c:pt>
                <c:pt idx="44">
                  <c:v>3.9125422999999999E-2</c:v>
                </c:pt>
                <c:pt idx="45">
                  <c:v>4.5695101000000002E-2</c:v>
                </c:pt>
                <c:pt idx="46">
                  <c:v>7.0093205000000006E-2</c:v>
                </c:pt>
              </c:numCache>
            </c:numRef>
          </c:val>
          <c:smooth val="0"/>
          <c:extLst>
            <c:ext xmlns:c16="http://schemas.microsoft.com/office/drawing/2014/chart" uri="{C3380CC4-5D6E-409C-BE32-E72D297353CC}">
              <c16:uniqueId val="{00000000-8F2B-4A18-89EB-7AA66E596964}"/>
            </c:ext>
          </c:extLst>
        </c:ser>
        <c:ser>
          <c:idx val="1"/>
          <c:order val="1"/>
          <c:spPr>
            <a:ln w="25400" cap="rnd">
              <a:noFill/>
              <a:round/>
            </a:ln>
            <a:effectLst/>
          </c:spPr>
          <c:marker>
            <c:symbol val="dash"/>
            <c:size val="5"/>
            <c:spPr>
              <a:solidFill>
                <a:srgbClr val="002060"/>
              </a:solidFill>
              <a:ln>
                <a:noFill/>
              </a:ln>
              <a:effectLst/>
            </c:spPr>
          </c:marker>
          <c:cat>
            <c:strRef>
              <c:f>'Liste et comparaison écogestes'!$C$3:$C$49</c:f>
              <c:strCache>
                <c:ptCount val="47"/>
                <c:pt idx="0">
                  <c:v>Paiement, e-banking, 1 paiement</c:v>
                </c:pt>
                <c:pt idx="1">
                  <c:v>Envoi email, 1 email, pièce jointe 1 Mo</c:v>
                </c:pt>
                <c:pt idx="2">
                  <c:v>Impression, noir et blanc, recto, 1 feuille A4</c:v>
                </c:pt>
                <c:pt idx="3">
                  <c:v>Ordinateur, usage bureautique, 1 h</c:v>
                </c:pt>
                <c:pt idx="4">
                  <c:v>Stockage, disque externe, 1000 photos, 1 an</c:v>
                </c:pt>
                <c:pt idx="5">
                  <c:v>Recherche, moteur de recherche, laptop, 100 recherches, 1 h</c:v>
                </c:pt>
                <c:pt idx="6">
                  <c:v>Stockage, cloud, 1000 photos, 1 an</c:v>
                </c:pt>
                <c:pt idx="7">
                  <c:v>Stockage, cloud, 1000 emails, 5 ans</c:v>
                </c:pt>
                <c:pt idx="8">
                  <c:v>Envoi email, 1000 emails, sans logo</c:v>
                </c:pt>
                <c:pt idx="9">
                  <c:v>Envoi email, 1000 emails, avec logo</c:v>
                </c:pt>
                <c:pt idx="10">
                  <c:v>Transmission, wifi, 1000 Mo</c:v>
                </c:pt>
                <c:pt idx="11">
                  <c:v>Transmission, wifi, 1 h</c:v>
                </c:pt>
                <c:pt idx="12">
                  <c:v>Transmission, fibre, 1000 Mo</c:v>
                </c:pt>
                <c:pt idx="13">
                  <c:v>Transmission, données mobiles, 1000 Mo</c:v>
                </c:pt>
                <c:pt idx="14">
                  <c:v>Discussion, par tele-conference, partage d'écran, SANS vidéo, 2 personnes, 1 h</c:v>
                </c:pt>
                <c:pt idx="15">
                  <c:v>Discussion, par tele-conference, partage d'écran, AVEC vidéo, 2 personnes, 1 h</c:v>
                </c:pt>
                <c:pt idx="16">
                  <c:v>Message texte, en ligne, 1 message</c:v>
                </c:pt>
                <c:pt idx="17">
                  <c:v>Appel, telephone portable, 1 h</c:v>
                </c:pt>
                <c:pt idx="18">
                  <c:v>Appel, telephone fixe, 1 h</c:v>
                </c:pt>
                <c:pt idx="19">
                  <c:v>Appel, telephone portable, whatsapp, 1 h</c:v>
                </c:pt>
                <c:pt idx="20">
                  <c:v>Message vocal, en ligne, whatsapp, 1 h</c:v>
                </c:pt>
                <c:pt idx="21">
                  <c:v>Transmission, 5G, 1000 Mo</c:v>
                </c:pt>
                <c:pt idx="22">
                  <c:v>Transmission, ADSL, 1000 Mo</c:v>
                </c:pt>
                <c:pt idx="23">
                  <c:v>Transmission, 4G, 1000 Mo</c:v>
                </c:pt>
                <c:pt idx="24">
                  <c:v>Eau bouillie, bouilloire, 1 L</c:v>
                </c:pt>
                <c:pt idx="25">
                  <c:v>Café, unité</c:v>
                </c:pt>
                <c:pt idx="26">
                  <c:v>Carottes suisses, cuites, 250 g</c:v>
                </c:pt>
                <c:pt idx="27">
                  <c:v>Chaussures, commande en ligne, une paire</c:v>
                </c:pt>
                <c:pt idx="28">
                  <c:v>Chaussures, achat en magasin, une paire</c:v>
                </c:pt>
                <c:pt idx="29">
                  <c:v>Entrecôte de boeuf suisse, 250 g</c:v>
                </c:pt>
                <c:pt idx="30">
                  <c:v>Chaussures, commande en ligne, trois paires, deux renvoyées et détruites</c:v>
                </c:pt>
                <c:pt idx="31">
                  <c:v>Lecture, newsletter mail, 300 ko, 10 min</c:v>
                </c:pt>
                <c:pt idx="32">
                  <c:v>Lecture, journal local, ordinateur, PDF téléchargé</c:v>
                </c:pt>
                <c:pt idx="33">
                  <c:v>Lecture, journal local, ordinateur, lecture en ligne</c:v>
                </c:pt>
                <c:pt idx="34">
                  <c:v>Lecture, journal local, papier</c:v>
                </c:pt>
                <c:pt idx="35">
                  <c:v>Lecture, roman e-book, 300 pages</c:v>
                </c:pt>
                <c:pt idx="36">
                  <c:v>Lecture, roman papier, achat en librairie, 300 pages</c:v>
                </c:pt>
                <c:pt idx="37">
                  <c:v>Lecture, roman papier, achat en ligne, 300 pages</c:v>
                </c:pt>
                <c:pt idx="38">
                  <c:v>Lecture, journal international, ordinateur, lecture en ligne</c:v>
                </c:pt>
                <c:pt idx="39">
                  <c:v>Lecture, journal international, papier</c:v>
                </c:pt>
                <c:pt idx="40">
                  <c:v>Ecoute, radio, live, FM, 1 h</c:v>
                </c:pt>
                <c:pt idx="41">
                  <c:v>Ecoute, musique, streaming, smartphone, 1 h</c:v>
                </c:pt>
                <c:pt idx="42">
                  <c:v>Video, streaming, smartphone, LD, 1 h</c:v>
                </c:pt>
                <c:pt idx="43">
                  <c:v>Ecoute, radio, live, laptop, 1 h</c:v>
                </c:pt>
                <c:pt idx="44">
                  <c:v>Ecoute, radio, replay, laptop, 1 h</c:v>
                </c:pt>
                <c:pt idx="45">
                  <c:v>Video, streaming, laptop, youtube, LD, 1 h</c:v>
                </c:pt>
                <c:pt idx="46">
                  <c:v>Video, live, smartphone, téléjournal, SD, 1 h</c:v>
                </c:pt>
              </c:strCache>
            </c:strRef>
          </c:cat>
          <c:val>
            <c:numRef>
              <c:f>'Liste et comparaison écogestes'!$I$3:$I$49</c:f>
              <c:numCache>
                <c:formatCode>0.000</c:formatCode>
                <c:ptCount val="47"/>
                <c:pt idx="0">
                  <c:v>1.59651E-3</c:v>
                </c:pt>
                <c:pt idx="1">
                  <c:v>4.0841195500000002E-3</c:v>
                </c:pt>
                <c:pt idx="2">
                  <c:v>4.8227786600000006E-3</c:v>
                </c:pt>
                <c:pt idx="3">
                  <c:v>1.1138984500000001E-2</c:v>
                </c:pt>
                <c:pt idx="4">
                  <c:v>1.8933977000000001E-2</c:v>
                </c:pt>
                <c:pt idx="5">
                  <c:v>2.3728006499999999E-2</c:v>
                </c:pt>
                <c:pt idx="6">
                  <c:v>0.52725</c:v>
                </c:pt>
                <c:pt idx="7">
                  <c:v>0.6875</c:v>
                </c:pt>
                <c:pt idx="8">
                  <c:v>2.8102038500000002</c:v>
                </c:pt>
                <c:pt idx="9">
                  <c:v>2.8404750999999999</c:v>
                </c:pt>
                <c:pt idx="10">
                  <c:v>8.4522535999999998E-4</c:v>
                </c:pt>
                <c:pt idx="11">
                  <c:v>7.8243715799999995E-3</c:v>
                </c:pt>
                <c:pt idx="12">
                  <c:v>1.17111375E-2</c:v>
                </c:pt>
                <c:pt idx="13">
                  <c:v>4.3988814500000001E-2</c:v>
                </c:pt>
                <c:pt idx="14">
                  <c:v>4.1277371100000002E-2</c:v>
                </c:pt>
                <c:pt idx="15">
                  <c:v>4.9459106400000001E-2</c:v>
                </c:pt>
                <c:pt idx="24">
                  <c:v>5.1846250400000002E-2</c:v>
                </c:pt>
                <c:pt idx="25">
                  <c:v>8.8550546000000008E-2</c:v>
                </c:pt>
                <c:pt idx="26">
                  <c:v>0.12700871499999999</c:v>
                </c:pt>
                <c:pt idx="27">
                  <c:v>5.3679695000000001</c:v>
                </c:pt>
                <c:pt idx="28">
                  <c:v>5.7407764999999999</c:v>
                </c:pt>
                <c:pt idx="29">
                  <c:v>7.1326844999999999</c:v>
                </c:pt>
                <c:pt idx="30">
                  <c:v>16.103908499999999</c:v>
                </c:pt>
                <c:pt idx="31">
                  <c:v>2.6575000000000001E-3</c:v>
                </c:pt>
                <c:pt idx="32">
                  <c:v>1.75998575E-2</c:v>
                </c:pt>
                <c:pt idx="33">
                  <c:v>3.3115549800000005E-2</c:v>
                </c:pt>
                <c:pt idx="34">
                  <c:v>7.1966398000000001E-2</c:v>
                </c:pt>
                <c:pt idx="35">
                  <c:v>7.9450000000000007E-2</c:v>
                </c:pt>
                <c:pt idx="36">
                  <c:v>0.36153625199999995</c:v>
                </c:pt>
                <c:pt idx="37">
                  <c:v>0.56128933999999997</c:v>
                </c:pt>
                <c:pt idx="40">
                  <c:v>4.9758370000000003E-3</c:v>
                </c:pt>
                <c:pt idx="41">
                  <c:v>1.10240145E-2</c:v>
                </c:pt>
                <c:pt idx="42">
                  <c:v>1.5422896E-2</c:v>
                </c:pt>
                <c:pt idx="43">
                  <c:v>1.5560828000000001E-2</c:v>
                </c:pt>
                <c:pt idx="44">
                  <c:v>1.95627115E-2</c:v>
                </c:pt>
                <c:pt idx="45">
                  <c:v>2.2847550500000001E-2</c:v>
                </c:pt>
                <c:pt idx="46">
                  <c:v>3.5046602500000003E-2</c:v>
                </c:pt>
              </c:numCache>
            </c:numRef>
          </c:val>
          <c:smooth val="0"/>
          <c:extLst>
            <c:ext xmlns:c16="http://schemas.microsoft.com/office/drawing/2014/chart" uri="{C3380CC4-5D6E-409C-BE32-E72D297353CC}">
              <c16:uniqueId val="{00000001-8F2B-4A18-89EB-7AA66E596964}"/>
            </c:ext>
          </c:extLst>
        </c:ser>
        <c:ser>
          <c:idx val="2"/>
          <c:order val="2"/>
          <c:spPr>
            <a:ln w="25400" cap="rnd">
              <a:noFill/>
              <a:round/>
            </a:ln>
            <a:effectLst/>
          </c:spPr>
          <c:marker>
            <c:symbol val="dash"/>
            <c:size val="5"/>
            <c:spPr>
              <a:solidFill>
                <a:schemeClr val="tx1"/>
              </a:solidFill>
              <a:ln>
                <a:noFill/>
              </a:ln>
              <a:effectLst/>
            </c:spPr>
          </c:marker>
          <c:cat>
            <c:strRef>
              <c:f>'Liste et comparaison écogestes'!$C$3:$C$49</c:f>
              <c:strCache>
                <c:ptCount val="47"/>
                <c:pt idx="0">
                  <c:v>Paiement, e-banking, 1 paiement</c:v>
                </c:pt>
                <c:pt idx="1">
                  <c:v>Envoi email, 1 email, pièce jointe 1 Mo</c:v>
                </c:pt>
                <c:pt idx="2">
                  <c:v>Impression, noir et blanc, recto, 1 feuille A4</c:v>
                </c:pt>
                <c:pt idx="3">
                  <c:v>Ordinateur, usage bureautique, 1 h</c:v>
                </c:pt>
                <c:pt idx="4">
                  <c:v>Stockage, disque externe, 1000 photos, 1 an</c:v>
                </c:pt>
                <c:pt idx="5">
                  <c:v>Recherche, moteur de recherche, laptop, 100 recherches, 1 h</c:v>
                </c:pt>
                <c:pt idx="6">
                  <c:v>Stockage, cloud, 1000 photos, 1 an</c:v>
                </c:pt>
                <c:pt idx="7">
                  <c:v>Stockage, cloud, 1000 emails, 5 ans</c:v>
                </c:pt>
                <c:pt idx="8">
                  <c:v>Envoi email, 1000 emails, sans logo</c:v>
                </c:pt>
                <c:pt idx="9">
                  <c:v>Envoi email, 1000 emails, avec logo</c:v>
                </c:pt>
                <c:pt idx="10">
                  <c:v>Transmission, wifi, 1000 Mo</c:v>
                </c:pt>
                <c:pt idx="11">
                  <c:v>Transmission, wifi, 1 h</c:v>
                </c:pt>
                <c:pt idx="12">
                  <c:v>Transmission, fibre, 1000 Mo</c:v>
                </c:pt>
                <c:pt idx="13">
                  <c:v>Transmission, données mobiles, 1000 Mo</c:v>
                </c:pt>
                <c:pt idx="14">
                  <c:v>Discussion, par tele-conference, partage d'écran, SANS vidéo, 2 personnes, 1 h</c:v>
                </c:pt>
                <c:pt idx="15">
                  <c:v>Discussion, par tele-conference, partage d'écran, AVEC vidéo, 2 personnes, 1 h</c:v>
                </c:pt>
                <c:pt idx="16">
                  <c:v>Message texte, en ligne, 1 message</c:v>
                </c:pt>
                <c:pt idx="17">
                  <c:v>Appel, telephone portable, 1 h</c:v>
                </c:pt>
                <c:pt idx="18">
                  <c:v>Appel, telephone fixe, 1 h</c:v>
                </c:pt>
                <c:pt idx="19">
                  <c:v>Appel, telephone portable, whatsapp, 1 h</c:v>
                </c:pt>
                <c:pt idx="20">
                  <c:v>Message vocal, en ligne, whatsapp, 1 h</c:v>
                </c:pt>
                <c:pt idx="21">
                  <c:v>Transmission, 5G, 1000 Mo</c:v>
                </c:pt>
                <c:pt idx="22">
                  <c:v>Transmission, ADSL, 1000 Mo</c:v>
                </c:pt>
                <c:pt idx="23">
                  <c:v>Transmission, 4G, 1000 Mo</c:v>
                </c:pt>
                <c:pt idx="24">
                  <c:v>Eau bouillie, bouilloire, 1 L</c:v>
                </c:pt>
                <c:pt idx="25">
                  <c:v>Café, unité</c:v>
                </c:pt>
                <c:pt idx="26">
                  <c:v>Carottes suisses, cuites, 250 g</c:v>
                </c:pt>
                <c:pt idx="27">
                  <c:v>Chaussures, commande en ligne, une paire</c:v>
                </c:pt>
                <c:pt idx="28">
                  <c:v>Chaussures, achat en magasin, une paire</c:v>
                </c:pt>
                <c:pt idx="29">
                  <c:v>Entrecôte de boeuf suisse, 250 g</c:v>
                </c:pt>
                <c:pt idx="30">
                  <c:v>Chaussures, commande en ligne, trois paires, deux renvoyées et détruites</c:v>
                </c:pt>
                <c:pt idx="31">
                  <c:v>Lecture, newsletter mail, 300 ko, 10 min</c:v>
                </c:pt>
                <c:pt idx="32">
                  <c:v>Lecture, journal local, ordinateur, PDF téléchargé</c:v>
                </c:pt>
                <c:pt idx="33">
                  <c:v>Lecture, journal local, ordinateur, lecture en ligne</c:v>
                </c:pt>
                <c:pt idx="34">
                  <c:v>Lecture, journal local, papier</c:v>
                </c:pt>
                <c:pt idx="35">
                  <c:v>Lecture, roman e-book, 300 pages</c:v>
                </c:pt>
                <c:pt idx="36">
                  <c:v>Lecture, roman papier, achat en librairie, 300 pages</c:v>
                </c:pt>
                <c:pt idx="37">
                  <c:v>Lecture, roman papier, achat en ligne, 300 pages</c:v>
                </c:pt>
                <c:pt idx="38">
                  <c:v>Lecture, journal international, ordinateur, lecture en ligne</c:v>
                </c:pt>
                <c:pt idx="39">
                  <c:v>Lecture, journal international, papier</c:v>
                </c:pt>
                <c:pt idx="40">
                  <c:v>Ecoute, radio, live, FM, 1 h</c:v>
                </c:pt>
                <c:pt idx="41">
                  <c:v>Ecoute, musique, streaming, smartphone, 1 h</c:v>
                </c:pt>
                <c:pt idx="42">
                  <c:v>Video, streaming, smartphone, LD, 1 h</c:v>
                </c:pt>
                <c:pt idx="43">
                  <c:v>Ecoute, radio, live, laptop, 1 h</c:v>
                </c:pt>
                <c:pt idx="44">
                  <c:v>Ecoute, radio, replay, laptop, 1 h</c:v>
                </c:pt>
                <c:pt idx="45">
                  <c:v>Video, streaming, laptop, youtube, LD, 1 h</c:v>
                </c:pt>
                <c:pt idx="46">
                  <c:v>Video, live, smartphone, téléjournal, SD, 1 h</c:v>
                </c:pt>
              </c:strCache>
            </c:strRef>
          </c:cat>
          <c:val>
            <c:numRef>
              <c:f>'Liste et comparaison écogestes'!$J$3:$J$49</c:f>
              <c:numCache>
                <c:formatCode>0.000</c:formatCode>
                <c:ptCount val="47"/>
                <c:pt idx="0">
                  <c:v>4.7895300000000002E-3</c:v>
                </c:pt>
                <c:pt idx="1">
                  <c:v>1.6336478200000001E-2</c:v>
                </c:pt>
                <c:pt idx="2">
                  <c:v>8.9565889399999994E-3</c:v>
                </c:pt>
                <c:pt idx="3">
                  <c:v>2.06866855E-2</c:v>
                </c:pt>
                <c:pt idx="4">
                  <c:v>5.6801931E-2</c:v>
                </c:pt>
                <c:pt idx="5">
                  <c:v>7.1184019500000001E-2</c:v>
                </c:pt>
                <c:pt idx="6">
                  <c:v>8.4359999999999999</c:v>
                </c:pt>
                <c:pt idx="7">
                  <c:v>11</c:v>
                </c:pt>
                <c:pt idx="8">
                  <c:v>11.240815400000001</c:v>
                </c:pt>
                <c:pt idx="9">
                  <c:v>11.3619004</c:v>
                </c:pt>
                <c:pt idx="10">
                  <c:v>1.5697042399999998E-3</c:v>
                </c:pt>
                <c:pt idx="11">
                  <c:v>9.5631208199999998E-3</c:v>
                </c:pt>
                <c:pt idx="12">
                  <c:v>4.6844549999999999E-2</c:v>
                </c:pt>
                <c:pt idx="13">
                  <c:v>0.175955258</c:v>
                </c:pt>
                <c:pt idx="14">
                  <c:v>7.6657974899999995E-2</c:v>
                </c:pt>
                <c:pt idx="15">
                  <c:v>0.1154045816</c:v>
                </c:pt>
                <c:pt idx="24">
                  <c:v>7.776937560000001E-2</c:v>
                </c:pt>
                <c:pt idx="25">
                  <c:v>0.16445101400000001</c:v>
                </c:pt>
                <c:pt idx="26">
                  <c:v>0.50803485999999998</c:v>
                </c:pt>
                <c:pt idx="27">
                  <c:v>16.103908499999999</c:v>
                </c:pt>
                <c:pt idx="28">
                  <c:v>17.222329500000001</c:v>
                </c:pt>
                <c:pt idx="29">
                  <c:v>28.530737999999999</c:v>
                </c:pt>
                <c:pt idx="30">
                  <c:v>48.311725499999994</c:v>
                </c:pt>
                <c:pt idx="31">
                  <c:v>7.9725000000000004E-3</c:v>
                </c:pt>
                <c:pt idx="32">
                  <c:v>5.2799572500000003E-2</c:v>
                </c:pt>
                <c:pt idx="33">
                  <c:v>7.7269616200000002E-2</c:v>
                </c:pt>
                <c:pt idx="34">
                  <c:v>0.133651882</c:v>
                </c:pt>
                <c:pt idx="35">
                  <c:v>0.31780000000000003</c:v>
                </c:pt>
                <c:pt idx="36">
                  <c:v>0.671424468</c:v>
                </c:pt>
                <c:pt idx="37">
                  <c:v>14.0322335</c:v>
                </c:pt>
                <c:pt idx="40">
                  <c:v>1.9903348000000001E-2</c:v>
                </c:pt>
                <c:pt idx="41">
                  <c:v>3.3072043500000002E-2</c:v>
                </c:pt>
                <c:pt idx="42">
                  <c:v>6.1691584000000001E-2</c:v>
                </c:pt>
                <c:pt idx="43">
                  <c:v>4.6682484000000003E-2</c:v>
                </c:pt>
                <c:pt idx="44">
                  <c:v>5.8688134500000003E-2</c:v>
                </c:pt>
                <c:pt idx="45">
                  <c:v>9.1390202000000004E-2</c:v>
                </c:pt>
                <c:pt idx="46">
                  <c:v>0.14018641000000001</c:v>
                </c:pt>
              </c:numCache>
            </c:numRef>
          </c:val>
          <c:smooth val="0"/>
          <c:extLst>
            <c:ext xmlns:c16="http://schemas.microsoft.com/office/drawing/2014/chart" uri="{C3380CC4-5D6E-409C-BE32-E72D297353CC}">
              <c16:uniqueId val="{00000002-8F2B-4A18-89EB-7AA66E596964}"/>
            </c:ext>
          </c:extLst>
        </c:ser>
        <c:dLbls>
          <c:showLegendKey val="0"/>
          <c:showVal val="0"/>
          <c:showCatName val="0"/>
          <c:showSerName val="0"/>
          <c:showPercent val="0"/>
          <c:showBubbleSize val="0"/>
        </c:dLbls>
        <c:hiLowLines>
          <c:spPr>
            <a:ln w="25400" cap="flat" cmpd="sng" algn="ctr">
              <a:solidFill>
                <a:schemeClr val="tx1">
                  <a:lumMod val="65000"/>
                  <a:lumOff val="35000"/>
                </a:schemeClr>
              </a:solidFill>
              <a:round/>
            </a:ln>
            <a:effectLst/>
          </c:spPr>
        </c:hiLowLines>
        <c:axId val="638097768"/>
        <c:axId val="638095800"/>
      </c:stockChart>
      <c:catAx>
        <c:axId val="638097768"/>
        <c:scaling>
          <c:orientation val="minMax"/>
        </c:scaling>
        <c:delete val="0"/>
        <c:axPos val="b"/>
        <c:numFmt formatCode="General" sourceLinked="1"/>
        <c:majorTickMark val="none"/>
        <c:minorTickMark val="none"/>
        <c:tickLblPos val="low"/>
        <c:spPr>
          <a:noFill/>
          <a:ln w="9525" cap="flat" cmpd="sng" algn="ctr">
            <a:solidFill>
              <a:schemeClr val="tx1">
                <a:lumMod val="35000"/>
                <a:lumOff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de-DE"/>
          </a:p>
        </c:txPr>
        <c:crossAx val="638095800"/>
        <c:crossesAt val="0.1"/>
        <c:auto val="1"/>
        <c:lblAlgn val="ctr"/>
        <c:lblOffset val="100"/>
        <c:noMultiLvlLbl val="0"/>
      </c:catAx>
      <c:valAx>
        <c:axId val="638095800"/>
        <c:scaling>
          <c:logBase val="10"/>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638097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Comparaison</a:t>
            </a:r>
            <a:r>
              <a:rPr lang="en-US" b="1" baseline="0"/>
              <a:t> du gain égologique de différentes e</a:t>
            </a:r>
            <a:r>
              <a:rPr lang="en-US" b="1"/>
              <a:t>cogestes pendant une année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55040631981839161"/>
          <c:y val="9.0241986353644527E-2"/>
          <c:w val="0.42900431605912903"/>
          <c:h val="0.81205999478703594"/>
        </c:manualLayout>
      </c:layout>
      <c:barChart>
        <c:barDir val="bar"/>
        <c:grouping val="clustered"/>
        <c:varyColors val="0"/>
        <c:ser>
          <c:idx val="0"/>
          <c:order val="0"/>
          <c:tx>
            <c:strRef>
              <c:f>'Liste et comparaison écogestes'!$C$119:$C$136</c:f>
              <c:strCache>
                <c:ptCount val="18"/>
                <c:pt idx="0">
                  <c:v>Remplacer un voyage d'une personne en avion à Berlin par une vidéoconférence de 4 heures</c:v>
                </c:pt>
                <c:pt idx="1">
                  <c:v>Consommer uniquement du courant vert à la maison (100% photovoltaique, 1800 kWh/an/personne)</c:v>
                </c:pt>
                <c:pt idx="2">
                  <c:v>Utiliser un laptop 5 ans au lieu de 4 ans </c:v>
                </c:pt>
                <c:pt idx="3">
                  <c:v>Remplacer 2 réunions par an par une vidéoconférance au lieu de se deplacer entre Lausanne et Berne (2x100 km) en voiture</c:v>
                </c:pt>
                <c:pt idx="4">
                  <c:v>Stocker les 5'000 photos sur un disque dur au lieu de les stocker dans un cloud service (stockage moyen de 5 ans)</c:v>
                </c:pt>
                <c:pt idx="5">
                  <c:v>Supprimer 10'000 E-mails stockés dans le  cloud </c:v>
                </c:pt>
                <c:pt idx="6">
                  <c:v>Utiliser un smartphone 4 ans au lieu de 3 ans </c:v>
                </c:pt>
                <c:pt idx="7">
                  <c:v>Eteindre le WiFi (et mettre le laptop en standby) entre 24h et 6h </c:v>
                </c:pt>
                <c:pt idx="8">
                  <c:v>Visualiser 100 films sur un petit écran (env. 30 cm), en SD, au lieu d'un grand écran (env. 100 cm), en HD</c:v>
                </c:pt>
                <c:pt idx="9">
                  <c:v>Visualiser 100 films en low definition au lieu de high definition (sur laptop)</c:v>
                </c:pt>
                <c:pt idx="10">
                  <c:v>Eliminer 20% de ses photos (1000 photos de mauvaise qualité ou redondantes par an) avant de les stocker sur un serveur cloud (stockage moyen de 5 ans)</c:v>
                </c:pt>
                <c:pt idx="12">
                  <c:v>Aller au travail en vélo 200 jours au lieu d'aller en voiture (2x5km)</c:v>
                </c:pt>
                <c:pt idx="13">
                  <c:v>Travailler à la maison 200 jours au lieu d'aller au travail en voiture à 5 km (2x5km) </c:v>
                </c:pt>
                <c:pt idx="14">
                  <c:v>Manger 1 fois (125 g) de la bonne viande de bœuf par semaine au lieu de 2 fois </c:v>
                </c:pt>
                <c:pt idx="15">
                  <c:v>Travail à la maison au lieu d'aller au bureau, 1 jour par semaine (économie 2 x 10 km/jour en voiture pour 46 semaines/an)</c:v>
                </c:pt>
                <c:pt idx="16">
                  <c:v>Boire 1 café au lieu de 2 par jour pendant 1 an</c:v>
                </c:pt>
                <c:pt idx="17">
                  <c:v>Acheter un paire de chaussures de moins par an (en achetant de la qualité et en utilisant mieux les autres chaussures)</c:v>
                </c:pt>
              </c:strCache>
            </c:strRef>
          </c:tx>
          <c:spPr>
            <a:solidFill>
              <a:schemeClr val="accent1"/>
            </a:solidFill>
            <a:ln>
              <a:noFill/>
            </a:ln>
            <a:effectLst/>
          </c:spPr>
          <c:invertIfNegative val="0"/>
          <c:cat>
            <c:strRef>
              <c:f>'Liste et comparaison écogestes'!$C$119:$C$143</c:f>
              <c:strCache>
                <c:ptCount val="25"/>
                <c:pt idx="0">
                  <c:v>Remplacer un voyage d'une personne en avion à Berlin par une vidéoconférence de 4 heures</c:v>
                </c:pt>
                <c:pt idx="1">
                  <c:v>Consommer uniquement du courant vert à la maison (100% photovoltaique, 1800 kWh/an/personne)</c:v>
                </c:pt>
                <c:pt idx="2">
                  <c:v>Utiliser un laptop 5 ans au lieu de 4 ans </c:v>
                </c:pt>
                <c:pt idx="3">
                  <c:v>Remplacer 2 réunions par an par une vidéoconférance au lieu de se deplacer entre Lausanne et Berne (2x100 km) en voiture</c:v>
                </c:pt>
                <c:pt idx="4">
                  <c:v>Stocker les 5'000 photos sur un disque dur au lieu de les stocker dans un cloud service (stockage moyen de 5 ans)</c:v>
                </c:pt>
                <c:pt idx="5">
                  <c:v>Supprimer 10'000 E-mails stockés dans le  cloud </c:v>
                </c:pt>
                <c:pt idx="6">
                  <c:v>Utiliser un smartphone 4 ans au lieu de 3 ans </c:v>
                </c:pt>
                <c:pt idx="7">
                  <c:v>Eteindre le WiFi (et mettre le laptop en standby) entre 24h et 6h </c:v>
                </c:pt>
                <c:pt idx="8">
                  <c:v>Visualiser 100 films sur un petit écran (env. 30 cm), en SD, au lieu d'un grand écran (env. 100 cm), en HD</c:v>
                </c:pt>
                <c:pt idx="9">
                  <c:v>Visualiser 100 films en low definition au lieu de high definition (sur laptop)</c:v>
                </c:pt>
                <c:pt idx="10">
                  <c:v>Eliminer 20% de ses photos (1000 photos de mauvaise qualité ou redondantes par an) avant de les stocker sur un serveur cloud (stockage moyen de 5 ans)</c:v>
                </c:pt>
                <c:pt idx="12">
                  <c:v>Aller au travail en vélo 200 jours au lieu d'aller en voiture (2x5km)</c:v>
                </c:pt>
                <c:pt idx="13">
                  <c:v>Travailler à la maison 200 jours au lieu d'aller au travail en voiture à 5 km (2x5km) </c:v>
                </c:pt>
                <c:pt idx="14">
                  <c:v>Manger 1 fois (125 g) de la bonne viande de bœuf par semaine au lieu de 2 fois </c:v>
                </c:pt>
                <c:pt idx="15">
                  <c:v>Travail à la maison au lieu d'aller au bureau, 1 jour par semaine (économie 2 x 10 km/jour en voiture pour 46 semaines/an)</c:v>
                </c:pt>
                <c:pt idx="16">
                  <c:v>Boire 1 café au lieu de 2 par jour pendant 1 an</c:v>
                </c:pt>
                <c:pt idx="17">
                  <c:v>Acheter un paire de chaussures de moins par an (en achetant de la qualité et en utilisant mieux les autres chaussures)</c:v>
                </c:pt>
                <c:pt idx="18">
                  <c:v>Unité pour la comparaison: 100km en voiture</c:v>
                </c:pt>
                <c:pt idx="19">
                  <c:v>Unité pour la comparaison: 1km en voiture</c:v>
                </c:pt>
                <c:pt idx="20">
                  <c:v>Unité pour la comparaison: 365 cafés</c:v>
                </c:pt>
                <c:pt idx="21">
                  <c:v>Unité pour la comparaison: 1 café</c:v>
                </c:pt>
                <c:pt idx="23">
                  <c:v>UCE par personne et par semaine en 2015</c:v>
                </c:pt>
                <c:pt idx="24">
                  <c:v>UCE limite par personne et par semaine (pour respecter les limites planetaires) </c:v>
                </c:pt>
              </c:strCache>
            </c:strRef>
          </c:cat>
          <c:val>
            <c:numRef>
              <c:f>'Liste et comparaison écogestes'!$H$119:$H$136</c:f>
              <c:numCache>
                <c:formatCode>0</c:formatCode>
                <c:ptCount val="18"/>
                <c:pt idx="0">
                  <c:v>507066.03830101131</c:v>
                </c:pt>
                <c:pt idx="1">
                  <c:v>483811.84935007652</c:v>
                </c:pt>
                <c:pt idx="2">
                  <c:v>163291.56666666619</c:v>
                </c:pt>
                <c:pt idx="3">
                  <c:v>150728.35444153249</c:v>
                </c:pt>
                <c:pt idx="4">
                  <c:v>58154.846494547499</c:v>
                </c:pt>
                <c:pt idx="5">
                  <c:v>31015.891657669701</c:v>
                </c:pt>
                <c:pt idx="6">
                  <c:v>30257.701145759478</c:v>
                </c:pt>
                <c:pt idx="7">
                  <c:v>19481.119109042858</c:v>
                </c:pt>
                <c:pt idx="8">
                  <c:v>17658.465883232315</c:v>
                </c:pt>
                <c:pt idx="9">
                  <c:v>15361.171965251157</c:v>
                </c:pt>
                <c:pt idx="10">
                  <c:v>11925.649612821006</c:v>
                </c:pt>
                <c:pt idx="12">
                  <c:v>754792.65418828221</c:v>
                </c:pt>
                <c:pt idx="13">
                  <c:v>754792.65418828221</c:v>
                </c:pt>
                <c:pt idx="14">
                  <c:v>707041.85551195324</c:v>
                </c:pt>
                <c:pt idx="15">
                  <c:v>347204.62092661002</c:v>
                </c:pt>
                <c:pt idx="16">
                  <c:v>144424.65413855371</c:v>
                </c:pt>
                <c:pt idx="17">
                  <c:v>22280.253898076549</c:v>
                </c:pt>
              </c:numCache>
            </c:numRef>
          </c:val>
          <c:extLst>
            <c:ext xmlns:c16="http://schemas.microsoft.com/office/drawing/2014/chart" uri="{C3380CC4-5D6E-409C-BE32-E72D297353CC}">
              <c16:uniqueId val="{00000000-9365-4202-8E87-B230EB8ADDB9}"/>
            </c:ext>
          </c:extLst>
        </c:ser>
        <c:dLbls>
          <c:showLegendKey val="0"/>
          <c:showVal val="0"/>
          <c:showCatName val="0"/>
          <c:showSerName val="0"/>
          <c:showPercent val="0"/>
          <c:showBubbleSize val="0"/>
        </c:dLbls>
        <c:gapWidth val="182"/>
        <c:axId val="655880880"/>
        <c:axId val="655882192"/>
      </c:barChart>
      <c:catAx>
        <c:axId val="6558808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655882192"/>
        <c:crosses val="autoZero"/>
        <c:auto val="1"/>
        <c:lblAlgn val="ctr"/>
        <c:lblOffset val="100"/>
        <c:noMultiLvlLbl val="0"/>
      </c:catAx>
      <c:valAx>
        <c:axId val="655882192"/>
        <c:scaling>
          <c:orientation val="minMax"/>
          <c:max val="8000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55880880"/>
        <c:crosses val="autoZero"/>
        <c:crossBetween val="between"/>
        <c:majorUnit val="200000"/>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45672882352810373"/>
          <c:y val="5.1612177631795493E-2"/>
          <c:w val="0.49814150623516551"/>
          <c:h val="0.87799264759011297"/>
        </c:manualLayout>
      </c:layout>
      <c:barChart>
        <c:barDir val="bar"/>
        <c:grouping val="clustered"/>
        <c:varyColors val="0"/>
        <c:ser>
          <c:idx val="0"/>
          <c:order val="0"/>
          <c:spPr>
            <a:solidFill>
              <a:schemeClr val="accent1"/>
            </a:solidFill>
            <a:ln>
              <a:noFill/>
            </a:ln>
            <a:effectLst/>
          </c:spPr>
          <c:invertIfNegative val="0"/>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PUBLIABLE'!$J$3:$J$49</c:f>
              <c:numCache>
                <c:formatCode>0</c:formatCode>
                <c:ptCount val="47"/>
                <c:pt idx="0" formatCode="0.0000">
                  <c:v>0.86483913106306098</c:v>
                </c:pt>
                <c:pt idx="1">
                  <c:v>2.28409044391223</c:v>
                </c:pt>
                <c:pt idx="2">
                  <c:v>3.9171055369176013</c:v>
                </c:pt>
                <c:pt idx="3">
                  <c:v>4.2283444280436591</c:v>
                </c:pt>
                <c:pt idx="4">
                  <c:v>8.0059393598806281</c:v>
                </c:pt>
                <c:pt idx="5">
                  <c:v>5.2498195316622009</c:v>
                </c:pt>
                <c:pt idx="6">
                  <c:v>8.8145651424234597</c:v>
                </c:pt>
                <c:pt idx="7">
                  <c:v>11.723714947632711</c:v>
                </c:pt>
                <c:pt idx="8">
                  <c:v>12.344053249454685</c:v>
                </c:pt>
                <c:pt idx="9">
                  <c:v>20.925543483079259</c:v>
                </c:pt>
                <c:pt idx="10">
                  <c:v>16.756023816326987</c:v>
                </c:pt>
                <c:pt idx="11">
                  <c:v>23.176326903797978</c:v>
                </c:pt>
                <c:pt idx="12">
                  <c:v>25.381626018661336</c:v>
                </c:pt>
                <c:pt idx="13">
                  <c:v>27.706618136120962</c:v>
                </c:pt>
                <c:pt idx="14">
                  <c:v>29.468031391154344</c:v>
                </c:pt>
                <c:pt idx="15">
                  <c:v>31.522962220953758</c:v>
                </c:pt>
                <c:pt idx="16">
                  <c:v>32.752101865794856</c:v>
                </c:pt>
                <c:pt idx="17">
                  <c:v>53.974365667013842</c:v>
                </c:pt>
                <c:pt idx="18">
                  <c:v>36.062330917558398</c:v>
                </c:pt>
                <c:pt idx="19">
                  <c:v>44.483100516642438</c:v>
                </c:pt>
                <c:pt idx="20">
                  <c:v>44.119705678588055</c:v>
                </c:pt>
                <c:pt idx="21">
                  <c:v>61.82308754759908</c:v>
                </c:pt>
                <c:pt idx="22">
                  <c:v>48.219888472297185</c:v>
                </c:pt>
                <c:pt idx="23">
                  <c:v>69.052918837295437</c:v>
                </c:pt>
                <c:pt idx="24">
                  <c:v>59.706355787203009</c:v>
                </c:pt>
                <c:pt idx="25">
                  <c:v>60.454969344476204</c:v>
                </c:pt>
                <c:pt idx="26">
                  <c:v>64.916814295150601</c:v>
                </c:pt>
                <c:pt idx="27">
                  <c:v>97.768669482600757</c:v>
                </c:pt>
                <c:pt idx="28">
                  <c:v>125.02574829855297</c:v>
                </c:pt>
                <c:pt idx="29">
                  <c:v>136.51221788845876</c:v>
                </c:pt>
                <c:pt idx="30">
                  <c:v>149.19334687297965</c:v>
                </c:pt>
                <c:pt idx="31">
                  <c:v>264.1774289658988</c:v>
                </c:pt>
                <c:pt idx="32">
                  <c:v>276.97878875887011</c:v>
                </c:pt>
                <c:pt idx="33">
                  <c:v>603.49032637508503</c:v>
                </c:pt>
                <c:pt idx="34">
                  <c:v>490.25305733799473</c:v>
                </c:pt>
                <c:pt idx="35">
                  <c:v>450.89910219025433</c:v>
                </c:pt>
                <c:pt idx="36">
                  <c:v>596.28248064105026</c:v>
                </c:pt>
                <c:pt idx="37">
                  <c:v>775.39729144174169</c:v>
                </c:pt>
                <c:pt idx="38">
                  <c:v>3813.1566903490516</c:v>
                </c:pt>
                <c:pt idx="39">
                  <c:v>3847.2952305293243</c:v>
                </c:pt>
                <c:pt idx="40">
                  <c:v>10886.135147198043</c:v>
                </c:pt>
                <c:pt idx="41">
                  <c:v>11394.118750878506</c:v>
                </c:pt>
                <c:pt idx="42">
                  <c:v>13596.958759845254</c:v>
                </c:pt>
                <c:pt idx="43">
                  <c:v>32658.405481294125</c:v>
                </c:pt>
                <c:pt idx="44">
                  <c:v>355268.47376528196</c:v>
                </c:pt>
                <c:pt idx="45">
                  <c:v>640064.17198900739</c:v>
                </c:pt>
                <c:pt idx="46">
                  <c:v>1754483.7236997806</c:v>
                </c:pt>
              </c:numCache>
            </c:numRef>
          </c:val>
          <c:extLst>
            <c:ext xmlns:c16="http://schemas.microsoft.com/office/drawing/2014/chart" uri="{C3380CC4-5D6E-409C-BE32-E72D297353CC}">
              <c16:uniqueId val="{00000000-DFCB-4465-9B6F-9D9266F5A471}"/>
            </c:ext>
          </c:extLst>
        </c:ser>
        <c:ser>
          <c:idx val="1"/>
          <c:order val="1"/>
          <c:spPr>
            <a:solidFill>
              <a:schemeClr val="accent2"/>
            </a:solidFill>
            <a:ln>
              <a:noFill/>
            </a:ln>
            <a:effectLst/>
          </c:spPr>
          <c:invertIfNegative val="0"/>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PUBLIABLE'!$K$3:$K$49</c:f>
              <c:numCache>
                <c:formatCode>0</c:formatCode>
                <c:ptCount val="47"/>
                <c:pt idx="0" formatCode="0.0000">
                  <c:v>1.6061298148313992</c:v>
                </c:pt>
                <c:pt idx="1">
                  <c:v>6.8522713317366897</c:v>
                </c:pt>
                <c:pt idx="2">
                  <c:v>11.751316610752804</c:v>
                </c:pt>
                <c:pt idx="3">
                  <c:v>16.913377712174636</c:v>
                </c:pt>
                <c:pt idx="4">
                  <c:v>9.785036995409655</c:v>
                </c:pt>
                <c:pt idx="5">
                  <c:v>20.999278126648804</c:v>
                </c:pt>
                <c:pt idx="6">
                  <c:v>16.369906693072139</c:v>
                </c:pt>
                <c:pt idx="7">
                  <c:v>46.894859790530845</c:v>
                </c:pt>
                <c:pt idx="8">
                  <c:v>37.032159748364052</c:v>
                </c:pt>
                <c:pt idx="9">
                  <c:v>38.861723611432915</c:v>
                </c:pt>
                <c:pt idx="10">
                  <c:v>67.024095265307949</c:v>
                </c:pt>
                <c:pt idx="11">
                  <c:v>69.528980711393928</c:v>
                </c:pt>
                <c:pt idx="12">
                  <c:v>76.144878055984009</c:v>
                </c:pt>
                <c:pt idx="13">
                  <c:v>83.119854408362883</c:v>
                </c:pt>
                <c:pt idx="14">
                  <c:v>88.404094173463037</c:v>
                </c:pt>
                <c:pt idx="15">
                  <c:v>126.09184888381503</c:v>
                </c:pt>
                <c:pt idx="16">
                  <c:v>98.256305597384568</c:v>
                </c:pt>
                <c:pt idx="17">
                  <c:v>80.961548500520763</c:v>
                </c:pt>
                <c:pt idx="18">
                  <c:v>144.24932367023359</c:v>
                </c:pt>
                <c:pt idx="19">
                  <c:v>103.79390120549904</c:v>
                </c:pt>
                <c:pt idx="20">
                  <c:v>176.47882271435222</c:v>
                </c:pt>
                <c:pt idx="21">
                  <c:v>114.81430544554115</c:v>
                </c:pt>
                <c:pt idx="22">
                  <c:v>192.87955388918874</c:v>
                </c:pt>
                <c:pt idx="23">
                  <c:v>161.12347728702272</c:v>
                </c:pt>
                <c:pt idx="24">
                  <c:v>179.11906736160904</c:v>
                </c:pt>
                <c:pt idx="25">
                  <c:v>181.36490803342861</c:v>
                </c:pt>
                <c:pt idx="26">
                  <c:v>194.7504428854518</c:v>
                </c:pt>
                <c:pt idx="27">
                  <c:v>181.57038618197285</c:v>
                </c:pt>
                <c:pt idx="28">
                  <c:v>500.10299319421188</c:v>
                </c:pt>
                <c:pt idx="29">
                  <c:v>409.53665366537632</c:v>
                </c:pt>
                <c:pt idx="30">
                  <c:v>596.77338749191858</c:v>
                </c:pt>
                <c:pt idx="31">
                  <c:v>490.6152252223834</c:v>
                </c:pt>
                <c:pt idx="32">
                  <c:v>514.38917912361592</c:v>
                </c:pt>
                <c:pt idx="33">
                  <c:v>1120.7677489823009</c:v>
                </c:pt>
                <c:pt idx="34">
                  <c:v>1961.0122293519789</c:v>
                </c:pt>
                <c:pt idx="35">
                  <c:v>11272.477554756359</c:v>
                </c:pt>
                <c:pt idx="36">
                  <c:v>9540.5196902568041</c:v>
                </c:pt>
                <c:pt idx="37">
                  <c:v>12406.356663067867</c:v>
                </c:pt>
                <c:pt idx="38">
                  <c:v>15252.626761396206</c:v>
                </c:pt>
                <c:pt idx="39">
                  <c:v>15389.180922117297</c:v>
                </c:pt>
                <c:pt idx="40">
                  <c:v>32658.405441594128</c:v>
                </c:pt>
                <c:pt idx="41">
                  <c:v>34182.356252635516</c:v>
                </c:pt>
                <c:pt idx="42">
                  <c:v>54387.835039381018</c:v>
                </c:pt>
                <c:pt idx="43">
                  <c:v>97975.216443882382</c:v>
                </c:pt>
                <c:pt idx="44">
                  <c:v>659784.30842123798</c:v>
                </c:pt>
                <c:pt idx="45">
                  <c:v>960096.25798351108</c:v>
                </c:pt>
                <c:pt idx="46">
                  <c:v>3258326.9154424495</c:v>
                </c:pt>
              </c:numCache>
            </c:numRef>
          </c:val>
          <c:extLst>
            <c:ext xmlns:c16="http://schemas.microsoft.com/office/drawing/2014/chart" uri="{C3380CC4-5D6E-409C-BE32-E72D297353CC}">
              <c16:uniqueId val="{00000001-DFCB-4465-9B6F-9D9266F5A471}"/>
            </c:ext>
          </c:extLst>
        </c:ser>
        <c:dLbls>
          <c:showLegendKey val="0"/>
          <c:showVal val="0"/>
          <c:showCatName val="0"/>
          <c:showSerName val="0"/>
          <c:showPercent val="0"/>
          <c:showBubbleSize val="0"/>
        </c:dLbls>
        <c:gapWidth val="182"/>
        <c:axId val="531910528"/>
        <c:axId val="531910856"/>
      </c:barChart>
      <c:catAx>
        <c:axId val="53191052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de-DE"/>
          </a:p>
        </c:txPr>
        <c:crossAx val="531910856"/>
        <c:crosses val="autoZero"/>
        <c:auto val="1"/>
        <c:lblAlgn val="ctr"/>
        <c:lblOffset val="100"/>
        <c:noMultiLvlLbl val="0"/>
      </c:catAx>
      <c:valAx>
        <c:axId val="531910856"/>
        <c:scaling>
          <c:logBase val="10"/>
          <c:orientation val="minMax"/>
          <c:min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1910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r>
              <a:rPr lang="de-CH" b="1"/>
              <a:t>Ecoscore [UCE]</a:t>
            </a:r>
          </a:p>
        </c:rich>
      </c:tx>
      <c:layout/>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manualLayout>
          <c:layoutTarget val="inner"/>
          <c:xMode val="edge"/>
          <c:yMode val="edge"/>
          <c:x val="3.3429246191469378E-2"/>
          <c:y val="4.2160075626404739E-2"/>
          <c:w val="0.96136063886078915"/>
          <c:h val="0.65015677132921268"/>
        </c:manualLayout>
      </c:layout>
      <c:stockChart>
        <c:ser>
          <c:idx val="0"/>
          <c:order val="0"/>
          <c:spPr>
            <a:ln w="25400" cap="rnd">
              <a:noFill/>
              <a:round/>
            </a:ln>
            <a:effectLst/>
          </c:spPr>
          <c:marker>
            <c:symbol val="circle"/>
            <c:size val="8"/>
            <c:spPr>
              <a:solidFill>
                <a:srgbClr val="00B050"/>
              </a:solidFill>
              <a:ln>
                <a:noFill/>
              </a:ln>
              <a:effectLst/>
            </c:spPr>
          </c:marker>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PUBLIABLE'!$G$3:$G$49</c:f>
              <c:numCache>
                <c:formatCode>0</c:formatCode>
                <c:ptCount val="47"/>
                <c:pt idx="0">
                  <c:v>1.2354844729472301</c:v>
                </c:pt>
                <c:pt idx="1">
                  <c:v>4.5681808878244601</c:v>
                </c:pt>
                <c:pt idx="2">
                  <c:v>7.8342110738352027</c:v>
                </c:pt>
                <c:pt idx="3">
                  <c:v>8.4566888560873181</c:v>
                </c:pt>
                <c:pt idx="4">
                  <c:v>8.8954881776451415</c:v>
                </c:pt>
                <c:pt idx="5">
                  <c:v>10.499639063324402</c:v>
                </c:pt>
                <c:pt idx="6">
                  <c:v>12.5922359177478</c:v>
                </c:pt>
                <c:pt idx="7">
                  <c:v>23.447429895265422</c:v>
                </c:pt>
                <c:pt idx="8">
                  <c:v>24.68810649890937</c:v>
                </c:pt>
                <c:pt idx="9">
                  <c:v>29.893633547256087</c:v>
                </c:pt>
                <c:pt idx="10">
                  <c:v>33.512047632653974</c:v>
                </c:pt>
                <c:pt idx="11">
                  <c:v>46.352653807595956</c:v>
                </c:pt>
                <c:pt idx="12">
                  <c:v>50.763252037322673</c:v>
                </c:pt>
                <c:pt idx="13">
                  <c:v>55.413236272241924</c:v>
                </c:pt>
                <c:pt idx="14">
                  <c:v>58.936062782308689</c:v>
                </c:pt>
                <c:pt idx="15">
                  <c:v>63.045924441907516</c:v>
                </c:pt>
                <c:pt idx="16">
                  <c:v>65.504203731589712</c:v>
                </c:pt>
                <c:pt idx="17">
                  <c:v>67.467957083767303</c:v>
                </c:pt>
                <c:pt idx="18">
                  <c:v>72.124661835116797</c:v>
                </c:pt>
                <c:pt idx="19">
                  <c:v>74.138500861070739</c:v>
                </c:pt>
                <c:pt idx="20">
                  <c:v>88.23941135717611</c:v>
                </c:pt>
                <c:pt idx="21">
                  <c:v>88.318696496570112</c:v>
                </c:pt>
                <c:pt idx="22">
                  <c:v>96.439776944594371</c:v>
                </c:pt>
                <c:pt idx="23">
                  <c:v>115.08819806215908</c:v>
                </c:pt>
                <c:pt idx="24">
                  <c:v>119.41271157440602</c:v>
                </c:pt>
                <c:pt idx="25">
                  <c:v>120.90993868895241</c:v>
                </c:pt>
                <c:pt idx="26">
                  <c:v>129.8336285903012</c:v>
                </c:pt>
                <c:pt idx="27">
                  <c:v>139.6695278322868</c:v>
                </c:pt>
                <c:pt idx="28">
                  <c:v>250.05149659710594</c:v>
                </c:pt>
                <c:pt idx="29">
                  <c:v>273.02443577691753</c:v>
                </c:pt>
                <c:pt idx="30">
                  <c:v>298.38669374595929</c:v>
                </c:pt>
                <c:pt idx="31">
                  <c:v>377.3963270941411</c:v>
                </c:pt>
                <c:pt idx="32">
                  <c:v>395.68398394124301</c:v>
                </c:pt>
                <c:pt idx="33">
                  <c:v>862.12903767869295</c:v>
                </c:pt>
                <c:pt idx="34">
                  <c:v>980.50611467598947</c:v>
                </c:pt>
                <c:pt idx="35">
                  <c:v>2254.4955109512716</c:v>
                </c:pt>
                <c:pt idx="36">
                  <c:v>2385.129922564201</c:v>
                </c:pt>
                <c:pt idx="37">
                  <c:v>3101.5891657669667</c:v>
                </c:pt>
                <c:pt idx="38">
                  <c:v>7626.3133806981032</c:v>
                </c:pt>
                <c:pt idx="39">
                  <c:v>7694.5904610586485</c:v>
                </c:pt>
                <c:pt idx="40">
                  <c:v>21772.270294396087</c:v>
                </c:pt>
                <c:pt idx="41">
                  <c:v>22788.237501757012</c:v>
                </c:pt>
                <c:pt idx="42">
                  <c:v>27193.917519690509</c:v>
                </c:pt>
                <c:pt idx="43">
                  <c:v>65316.81096258825</c:v>
                </c:pt>
                <c:pt idx="44">
                  <c:v>507526.39109325997</c:v>
                </c:pt>
                <c:pt idx="45">
                  <c:v>800080.21498625923</c:v>
                </c:pt>
                <c:pt idx="46">
                  <c:v>2506405.3195711151</c:v>
                </c:pt>
              </c:numCache>
            </c:numRef>
          </c:val>
          <c:smooth val="0"/>
          <c:extLst>
            <c:ext xmlns:c16="http://schemas.microsoft.com/office/drawing/2014/chart" uri="{C3380CC4-5D6E-409C-BE32-E72D297353CC}">
              <c16:uniqueId val="{00000000-AACE-49E0-A555-DE73B14A03E8}"/>
            </c:ext>
          </c:extLst>
        </c:ser>
        <c:ser>
          <c:idx val="1"/>
          <c:order val="1"/>
          <c:spPr>
            <a:ln w="25400" cap="rnd">
              <a:noFill/>
              <a:round/>
            </a:ln>
            <a:effectLst/>
          </c:spPr>
          <c:marker>
            <c:symbol val="dash"/>
            <c:size val="5"/>
            <c:spPr>
              <a:solidFill>
                <a:schemeClr val="tx1"/>
              </a:solidFill>
              <a:ln>
                <a:noFill/>
              </a:ln>
              <a:effectLst/>
            </c:spPr>
          </c:marker>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PUBLIABLE'!$J$3:$J$49</c:f>
              <c:numCache>
                <c:formatCode>0</c:formatCode>
                <c:ptCount val="47"/>
                <c:pt idx="0" formatCode="0.0000">
                  <c:v>0.86483913106306098</c:v>
                </c:pt>
                <c:pt idx="1">
                  <c:v>2.28409044391223</c:v>
                </c:pt>
                <c:pt idx="2">
                  <c:v>3.9171055369176013</c:v>
                </c:pt>
                <c:pt idx="3">
                  <c:v>4.2283444280436591</c:v>
                </c:pt>
                <c:pt idx="4">
                  <c:v>8.0059393598806281</c:v>
                </c:pt>
                <c:pt idx="5">
                  <c:v>5.2498195316622009</c:v>
                </c:pt>
                <c:pt idx="6">
                  <c:v>8.8145651424234597</c:v>
                </c:pt>
                <c:pt idx="7">
                  <c:v>11.723714947632711</c:v>
                </c:pt>
                <c:pt idx="8">
                  <c:v>12.344053249454685</c:v>
                </c:pt>
                <c:pt idx="9">
                  <c:v>20.925543483079259</c:v>
                </c:pt>
                <c:pt idx="10">
                  <c:v>16.756023816326987</c:v>
                </c:pt>
                <c:pt idx="11">
                  <c:v>23.176326903797978</c:v>
                </c:pt>
                <c:pt idx="12">
                  <c:v>25.381626018661336</c:v>
                </c:pt>
                <c:pt idx="13">
                  <c:v>27.706618136120962</c:v>
                </c:pt>
                <c:pt idx="14">
                  <c:v>29.468031391154344</c:v>
                </c:pt>
                <c:pt idx="15">
                  <c:v>31.522962220953758</c:v>
                </c:pt>
                <c:pt idx="16">
                  <c:v>32.752101865794856</c:v>
                </c:pt>
                <c:pt idx="17">
                  <c:v>53.974365667013842</c:v>
                </c:pt>
                <c:pt idx="18">
                  <c:v>36.062330917558398</c:v>
                </c:pt>
                <c:pt idx="19">
                  <c:v>44.483100516642438</c:v>
                </c:pt>
                <c:pt idx="20">
                  <c:v>44.119705678588055</c:v>
                </c:pt>
                <c:pt idx="21">
                  <c:v>61.82308754759908</c:v>
                </c:pt>
                <c:pt idx="22">
                  <c:v>48.219888472297185</c:v>
                </c:pt>
                <c:pt idx="23">
                  <c:v>69.052918837295437</c:v>
                </c:pt>
                <c:pt idx="24">
                  <c:v>59.706355787203009</c:v>
                </c:pt>
                <c:pt idx="25">
                  <c:v>60.454969344476204</c:v>
                </c:pt>
                <c:pt idx="26">
                  <c:v>64.916814295150601</c:v>
                </c:pt>
                <c:pt idx="27">
                  <c:v>97.768669482600757</c:v>
                </c:pt>
                <c:pt idx="28">
                  <c:v>125.02574829855297</c:v>
                </c:pt>
                <c:pt idx="29">
                  <c:v>136.51221788845876</c:v>
                </c:pt>
                <c:pt idx="30">
                  <c:v>149.19334687297965</c:v>
                </c:pt>
                <c:pt idx="31">
                  <c:v>264.1774289658988</c:v>
                </c:pt>
                <c:pt idx="32">
                  <c:v>276.97878875887011</c:v>
                </c:pt>
                <c:pt idx="33">
                  <c:v>603.49032637508503</c:v>
                </c:pt>
                <c:pt idx="34">
                  <c:v>490.25305733799473</c:v>
                </c:pt>
                <c:pt idx="35">
                  <c:v>450.89910219025433</c:v>
                </c:pt>
                <c:pt idx="36">
                  <c:v>596.28248064105026</c:v>
                </c:pt>
                <c:pt idx="37">
                  <c:v>775.39729144174169</c:v>
                </c:pt>
                <c:pt idx="38">
                  <c:v>3813.1566903490516</c:v>
                </c:pt>
                <c:pt idx="39">
                  <c:v>3847.2952305293243</c:v>
                </c:pt>
                <c:pt idx="40">
                  <c:v>10886.135147198043</c:v>
                </c:pt>
                <c:pt idx="41">
                  <c:v>11394.118750878506</c:v>
                </c:pt>
                <c:pt idx="42">
                  <c:v>13596.958759845254</c:v>
                </c:pt>
                <c:pt idx="43">
                  <c:v>32658.405481294125</c:v>
                </c:pt>
                <c:pt idx="44">
                  <c:v>355268.47376528196</c:v>
                </c:pt>
                <c:pt idx="45">
                  <c:v>640064.17198900739</c:v>
                </c:pt>
                <c:pt idx="46">
                  <c:v>1754483.7236997806</c:v>
                </c:pt>
              </c:numCache>
            </c:numRef>
          </c:val>
          <c:smooth val="0"/>
          <c:extLst>
            <c:ext xmlns:c16="http://schemas.microsoft.com/office/drawing/2014/chart" uri="{C3380CC4-5D6E-409C-BE32-E72D297353CC}">
              <c16:uniqueId val="{00000001-AACE-49E0-A555-DE73B14A03E8}"/>
            </c:ext>
          </c:extLst>
        </c:ser>
        <c:ser>
          <c:idx val="2"/>
          <c:order val="2"/>
          <c:spPr>
            <a:ln w="25400" cap="rnd">
              <a:noFill/>
              <a:round/>
            </a:ln>
            <a:effectLst/>
          </c:spPr>
          <c:marker>
            <c:symbol val="dash"/>
            <c:size val="5"/>
            <c:spPr>
              <a:solidFill>
                <a:schemeClr val="tx1"/>
              </a:solidFill>
              <a:ln>
                <a:noFill/>
              </a:ln>
              <a:effectLst/>
            </c:spPr>
          </c:marker>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PUBLIABLE'!$K$3:$K$49</c:f>
              <c:numCache>
                <c:formatCode>0</c:formatCode>
                <c:ptCount val="47"/>
                <c:pt idx="0" formatCode="0.0000">
                  <c:v>1.6061298148313992</c:v>
                </c:pt>
                <c:pt idx="1">
                  <c:v>6.8522713317366897</c:v>
                </c:pt>
                <c:pt idx="2">
                  <c:v>11.751316610752804</c:v>
                </c:pt>
                <c:pt idx="3">
                  <c:v>16.913377712174636</c:v>
                </c:pt>
                <c:pt idx="4">
                  <c:v>9.785036995409655</c:v>
                </c:pt>
                <c:pt idx="5">
                  <c:v>20.999278126648804</c:v>
                </c:pt>
                <c:pt idx="6">
                  <c:v>16.369906693072139</c:v>
                </c:pt>
                <c:pt idx="7">
                  <c:v>46.894859790530845</c:v>
                </c:pt>
                <c:pt idx="8">
                  <c:v>37.032159748364052</c:v>
                </c:pt>
                <c:pt idx="9">
                  <c:v>38.861723611432915</c:v>
                </c:pt>
                <c:pt idx="10">
                  <c:v>67.024095265307949</c:v>
                </c:pt>
                <c:pt idx="11">
                  <c:v>69.528980711393928</c:v>
                </c:pt>
                <c:pt idx="12">
                  <c:v>76.144878055984009</c:v>
                </c:pt>
                <c:pt idx="13">
                  <c:v>83.119854408362883</c:v>
                </c:pt>
                <c:pt idx="14">
                  <c:v>88.404094173463037</c:v>
                </c:pt>
                <c:pt idx="15">
                  <c:v>126.09184888381503</c:v>
                </c:pt>
                <c:pt idx="16">
                  <c:v>98.256305597384568</c:v>
                </c:pt>
                <c:pt idx="17">
                  <c:v>80.961548500520763</c:v>
                </c:pt>
                <c:pt idx="18">
                  <c:v>144.24932367023359</c:v>
                </c:pt>
                <c:pt idx="19">
                  <c:v>103.79390120549904</c:v>
                </c:pt>
                <c:pt idx="20">
                  <c:v>176.47882271435222</c:v>
                </c:pt>
                <c:pt idx="21">
                  <c:v>114.81430544554115</c:v>
                </c:pt>
                <c:pt idx="22">
                  <c:v>192.87955388918874</c:v>
                </c:pt>
                <c:pt idx="23">
                  <c:v>161.12347728702272</c:v>
                </c:pt>
                <c:pt idx="24">
                  <c:v>179.11906736160904</c:v>
                </c:pt>
                <c:pt idx="25">
                  <c:v>181.36490803342861</c:v>
                </c:pt>
                <c:pt idx="26">
                  <c:v>194.7504428854518</c:v>
                </c:pt>
                <c:pt idx="27">
                  <c:v>181.57038618197285</c:v>
                </c:pt>
                <c:pt idx="28">
                  <c:v>500.10299319421188</c:v>
                </c:pt>
                <c:pt idx="29">
                  <c:v>409.53665366537632</c:v>
                </c:pt>
                <c:pt idx="30">
                  <c:v>596.77338749191858</c:v>
                </c:pt>
                <c:pt idx="31">
                  <c:v>490.6152252223834</c:v>
                </c:pt>
                <c:pt idx="32">
                  <c:v>514.38917912361592</c:v>
                </c:pt>
                <c:pt idx="33">
                  <c:v>1120.7677489823009</c:v>
                </c:pt>
                <c:pt idx="34">
                  <c:v>1961.0122293519789</c:v>
                </c:pt>
                <c:pt idx="35">
                  <c:v>11272.477554756359</c:v>
                </c:pt>
                <c:pt idx="36">
                  <c:v>9540.5196902568041</c:v>
                </c:pt>
                <c:pt idx="37">
                  <c:v>12406.356663067867</c:v>
                </c:pt>
                <c:pt idx="38">
                  <c:v>15252.626761396206</c:v>
                </c:pt>
                <c:pt idx="39">
                  <c:v>15389.180922117297</c:v>
                </c:pt>
                <c:pt idx="40">
                  <c:v>32658.405441594128</c:v>
                </c:pt>
                <c:pt idx="41">
                  <c:v>34182.356252635516</c:v>
                </c:pt>
                <c:pt idx="42">
                  <c:v>54387.835039381018</c:v>
                </c:pt>
                <c:pt idx="43">
                  <c:v>97975.216443882382</c:v>
                </c:pt>
                <c:pt idx="44">
                  <c:v>659784.30842123798</c:v>
                </c:pt>
                <c:pt idx="45">
                  <c:v>960096.25798351108</c:v>
                </c:pt>
                <c:pt idx="46">
                  <c:v>3258326.9154424495</c:v>
                </c:pt>
              </c:numCache>
            </c:numRef>
          </c:val>
          <c:smooth val="0"/>
          <c:extLst>
            <c:ext xmlns:c16="http://schemas.microsoft.com/office/drawing/2014/chart" uri="{C3380CC4-5D6E-409C-BE32-E72D297353CC}">
              <c16:uniqueId val="{00000002-AACE-49E0-A555-DE73B14A03E8}"/>
            </c:ext>
          </c:extLst>
        </c:ser>
        <c:dLbls>
          <c:showLegendKey val="0"/>
          <c:showVal val="0"/>
          <c:showCatName val="0"/>
          <c:showSerName val="0"/>
          <c:showPercent val="0"/>
          <c:showBubbleSize val="0"/>
        </c:dLbls>
        <c:hiLowLines>
          <c:spPr>
            <a:ln w="25400" cap="flat" cmpd="sng" algn="ctr">
              <a:solidFill>
                <a:schemeClr val="tx1">
                  <a:lumMod val="65000"/>
                  <a:lumOff val="35000"/>
                </a:schemeClr>
              </a:solidFill>
              <a:round/>
            </a:ln>
            <a:effectLst/>
          </c:spPr>
        </c:hiLowLines>
        <c:axId val="638097768"/>
        <c:axId val="638095800"/>
      </c:stockChart>
      <c:catAx>
        <c:axId val="638097768"/>
        <c:scaling>
          <c:orientation val="minMax"/>
        </c:scaling>
        <c:delete val="0"/>
        <c:axPos val="b"/>
        <c:numFmt formatCode="General" sourceLinked="1"/>
        <c:majorTickMark val="none"/>
        <c:minorTickMark val="none"/>
        <c:tickLblPos val="nextTo"/>
        <c:spPr>
          <a:noFill/>
          <a:ln w="9525" cap="flat" cmpd="sng" algn="ctr">
            <a:solidFill>
              <a:schemeClr val="tx1">
                <a:lumMod val="35000"/>
                <a:lumOff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de-DE"/>
          </a:p>
        </c:txPr>
        <c:crossAx val="638095800"/>
        <c:crossesAt val="0.1"/>
        <c:auto val="1"/>
        <c:lblAlgn val="ctr"/>
        <c:lblOffset val="100"/>
        <c:noMultiLvlLbl val="0"/>
      </c:catAx>
      <c:valAx>
        <c:axId val="638095800"/>
        <c:scaling>
          <c:orientation val="minMax"/>
          <c:max val="3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638097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r>
              <a:rPr lang="de-CH" b="1"/>
              <a:t>Empreinte Carbone [CO2</a:t>
            </a:r>
            <a:r>
              <a:rPr lang="de-CH" b="1" baseline="0"/>
              <a:t> en kg]</a:t>
            </a:r>
            <a:endParaRPr lang="de-CH" b="1"/>
          </a:p>
        </c:rich>
      </c:tx>
      <c:layout/>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manualLayout>
          <c:layoutTarget val="inner"/>
          <c:xMode val="edge"/>
          <c:yMode val="edge"/>
          <c:x val="3.3429246191469378E-2"/>
          <c:y val="4.2160075626404739E-2"/>
          <c:w val="0.96136063886078915"/>
          <c:h val="0.65015677132921268"/>
        </c:manualLayout>
      </c:layout>
      <c:stockChart>
        <c:ser>
          <c:idx val="0"/>
          <c:order val="0"/>
          <c:spPr>
            <a:ln w="25400" cap="rnd">
              <a:noFill/>
              <a:round/>
            </a:ln>
            <a:effectLst/>
          </c:spPr>
          <c:marker>
            <c:symbol val="circle"/>
            <c:size val="8"/>
            <c:spPr>
              <a:solidFill>
                <a:srgbClr val="00B050"/>
              </a:solidFill>
              <a:ln>
                <a:noFill/>
              </a:ln>
              <a:effectLst/>
            </c:spPr>
          </c:marker>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PUBLIABLE'!$F$3:$F$49</c:f>
              <c:numCache>
                <c:formatCode>0.000</c:formatCode>
                <c:ptCount val="47"/>
                <c:pt idx="0">
                  <c:v>1.2074647999999999E-3</c:v>
                </c:pt>
                <c:pt idx="1">
                  <c:v>3.19302E-3</c:v>
                </c:pt>
                <c:pt idx="2">
                  <c:v>5.3150000000000003E-3</c:v>
                </c:pt>
                <c:pt idx="3">
                  <c:v>9.9516740000000006E-3</c:v>
                </c:pt>
                <c:pt idx="4">
                  <c:v>8.6937461999999997E-3</c:v>
                </c:pt>
                <c:pt idx="5">
                  <c:v>8.1682391000000003E-3</c:v>
                </c:pt>
                <c:pt idx="6">
                  <c:v>6.8896838E-3</c:v>
                </c:pt>
                <c:pt idx="7">
                  <c:v>2.3422274999999999E-2</c:v>
                </c:pt>
                <c:pt idx="8">
                  <c:v>2.2048029E-2</c:v>
                </c:pt>
                <c:pt idx="9">
                  <c:v>1.5912835E-2</c:v>
                </c:pt>
                <c:pt idx="10">
                  <c:v>3.0845792E-2</c:v>
                </c:pt>
                <c:pt idx="11">
                  <c:v>3.1121656000000001E-2</c:v>
                </c:pt>
                <c:pt idx="12">
                  <c:v>3.5199714999999999E-2</c:v>
                </c:pt>
                <c:pt idx="13">
                  <c:v>3.9125422999999999E-2</c:v>
                </c:pt>
                <c:pt idx="14">
                  <c:v>3.7867954000000002E-2</c:v>
                </c:pt>
                <c:pt idx="15">
                  <c:v>4.5695101000000002E-2</c:v>
                </c:pt>
                <c:pt idx="16">
                  <c:v>4.7456012999999998E-2</c:v>
                </c:pt>
                <c:pt idx="17">
                  <c:v>6.4807813000000006E-2</c:v>
                </c:pt>
                <c:pt idx="18">
                  <c:v>7.0093205000000006E-2</c:v>
                </c:pt>
                <c:pt idx="19">
                  <c:v>5.5192583000000003E-2</c:v>
                </c:pt>
                <c:pt idx="20">
                  <c:v>8.7977629000000002E-2</c:v>
                </c:pt>
                <c:pt idx="21">
                  <c:v>5.8967672999999998E-2</c:v>
                </c:pt>
                <c:pt idx="22">
                  <c:v>7.4256890000000006E-2</c:v>
                </c:pt>
                <c:pt idx="23">
                  <c:v>8.2431844000000004E-2</c:v>
                </c:pt>
                <c:pt idx="24">
                  <c:v>0.11344694</c:v>
                </c:pt>
                <c:pt idx="25">
                  <c:v>9.4660153999999996E-2</c:v>
                </c:pt>
                <c:pt idx="26">
                  <c:v>0.10281868</c:v>
                </c:pt>
                <c:pt idx="27">
                  <c:v>0.10280913999999999</c:v>
                </c:pt>
                <c:pt idx="28">
                  <c:v>0.20564112000000001</c:v>
                </c:pt>
                <c:pt idx="29">
                  <c:v>0.24483116999999999</c:v>
                </c:pt>
                <c:pt idx="30">
                  <c:v>0.15890000000000001</c:v>
                </c:pt>
                <c:pt idx="31">
                  <c:v>0.32056327000000001</c:v>
                </c:pt>
                <c:pt idx="32">
                  <c:v>0.12650078000000001</c:v>
                </c:pt>
                <c:pt idx="33">
                  <c:v>0.51648035999999997</c:v>
                </c:pt>
                <c:pt idx="34">
                  <c:v>0.25401742999999999</c:v>
                </c:pt>
                <c:pt idx="35">
                  <c:v>2.8064467</c:v>
                </c:pt>
                <c:pt idx="36">
                  <c:v>2.109</c:v>
                </c:pt>
                <c:pt idx="37">
                  <c:v>2.75</c:v>
                </c:pt>
                <c:pt idx="38">
                  <c:v>5.6204077000000003</c:v>
                </c:pt>
                <c:pt idx="39">
                  <c:v>5.6809501999999998</c:v>
                </c:pt>
                <c:pt idx="40">
                  <c:v>10.735939</c:v>
                </c:pt>
                <c:pt idx="41">
                  <c:v>11.481553</c:v>
                </c:pt>
                <c:pt idx="42">
                  <c:v>14.265369</c:v>
                </c:pt>
                <c:pt idx="43">
                  <c:v>32.207816999999999</c:v>
                </c:pt>
                <c:pt idx="44">
                  <c:v>775.54660000000001</c:v>
                </c:pt>
                <c:pt idx="45">
                  <c:v>679.59412999999995</c:v>
                </c:pt>
                <c:pt idx="46">
                  <c:v>4285.6630999999998</c:v>
                </c:pt>
              </c:numCache>
            </c:numRef>
          </c:val>
          <c:smooth val="0"/>
          <c:extLst>
            <c:ext xmlns:c16="http://schemas.microsoft.com/office/drawing/2014/chart" uri="{C3380CC4-5D6E-409C-BE32-E72D297353CC}">
              <c16:uniqueId val="{00000003-F662-41F2-BCC8-B533069213A0}"/>
            </c:ext>
          </c:extLst>
        </c:ser>
        <c:ser>
          <c:idx val="1"/>
          <c:order val="1"/>
          <c:spPr>
            <a:ln w="25400" cap="rnd">
              <a:noFill/>
              <a:round/>
            </a:ln>
            <a:effectLst/>
          </c:spPr>
          <c:marker>
            <c:symbol val="dash"/>
            <c:size val="5"/>
            <c:spPr>
              <a:solidFill>
                <a:srgbClr val="002060"/>
              </a:solidFill>
              <a:ln>
                <a:noFill/>
              </a:ln>
              <a:effectLst/>
            </c:spPr>
          </c:marker>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PUBLIABLE'!$H$3:$H$49</c:f>
              <c:numCache>
                <c:formatCode>0.000</c:formatCode>
                <c:ptCount val="47"/>
                <c:pt idx="0">
                  <c:v>8.4522535999999998E-4</c:v>
                </c:pt>
                <c:pt idx="1">
                  <c:v>1.59651E-3</c:v>
                </c:pt>
                <c:pt idx="2">
                  <c:v>2.6575000000000001E-3</c:v>
                </c:pt>
                <c:pt idx="3">
                  <c:v>4.9758370000000003E-3</c:v>
                </c:pt>
                <c:pt idx="4">
                  <c:v>7.8243715799999995E-3</c:v>
                </c:pt>
                <c:pt idx="5">
                  <c:v>4.0841195500000002E-3</c:v>
                </c:pt>
                <c:pt idx="6">
                  <c:v>4.8227786600000006E-3</c:v>
                </c:pt>
                <c:pt idx="7">
                  <c:v>1.17111375E-2</c:v>
                </c:pt>
                <c:pt idx="8">
                  <c:v>1.10240145E-2</c:v>
                </c:pt>
                <c:pt idx="9">
                  <c:v>1.1138984500000001E-2</c:v>
                </c:pt>
                <c:pt idx="10">
                  <c:v>1.5422896E-2</c:v>
                </c:pt>
                <c:pt idx="11">
                  <c:v>1.5560828000000001E-2</c:v>
                </c:pt>
                <c:pt idx="12">
                  <c:v>1.75998575E-2</c:v>
                </c:pt>
                <c:pt idx="13">
                  <c:v>1.95627115E-2</c:v>
                </c:pt>
                <c:pt idx="14">
                  <c:v>1.8933977000000001E-2</c:v>
                </c:pt>
                <c:pt idx="15">
                  <c:v>2.2847550500000001E-2</c:v>
                </c:pt>
                <c:pt idx="16">
                  <c:v>2.3728006499999999E-2</c:v>
                </c:pt>
                <c:pt idx="17">
                  <c:v>5.1846250400000002E-2</c:v>
                </c:pt>
                <c:pt idx="18">
                  <c:v>3.5046602500000003E-2</c:v>
                </c:pt>
                <c:pt idx="19">
                  <c:v>3.3115549800000005E-2</c:v>
                </c:pt>
                <c:pt idx="20">
                  <c:v>4.3988814500000001E-2</c:v>
                </c:pt>
                <c:pt idx="21">
                  <c:v>4.1277371100000002E-2</c:v>
                </c:pt>
                <c:pt idx="22">
                  <c:v>3.7128445000000003E-2</c:v>
                </c:pt>
                <c:pt idx="23">
                  <c:v>4.9459106400000001E-2</c:v>
                </c:pt>
                <c:pt idx="24">
                  <c:v>5.6723469999999998E-2</c:v>
                </c:pt>
                <c:pt idx="25">
                  <c:v>4.7330076999999998E-2</c:v>
                </c:pt>
                <c:pt idx="26">
                  <c:v>5.1409339999999998E-2</c:v>
                </c:pt>
                <c:pt idx="27">
                  <c:v>7.1966398000000001E-2</c:v>
                </c:pt>
                <c:pt idx="28">
                  <c:v>0.10282056000000001</c:v>
                </c:pt>
                <c:pt idx="29">
                  <c:v>0.12241558499999999</c:v>
                </c:pt>
                <c:pt idx="30">
                  <c:v>7.9450000000000007E-2</c:v>
                </c:pt>
                <c:pt idx="31">
                  <c:v>0.22439428900000002</c:v>
                </c:pt>
                <c:pt idx="32">
                  <c:v>8.8550546000000008E-2</c:v>
                </c:pt>
                <c:pt idx="33">
                  <c:v>0.36153625199999995</c:v>
                </c:pt>
                <c:pt idx="34">
                  <c:v>0.12700871499999999</c:v>
                </c:pt>
                <c:pt idx="35">
                  <c:v>0.56128933999999997</c:v>
                </c:pt>
                <c:pt idx="36">
                  <c:v>0.52725</c:v>
                </c:pt>
                <c:pt idx="37">
                  <c:v>0.6875</c:v>
                </c:pt>
                <c:pt idx="38">
                  <c:v>2.8102038500000002</c:v>
                </c:pt>
                <c:pt idx="39">
                  <c:v>2.8404750999999999</c:v>
                </c:pt>
                <c:pt idx="40">
                  <c:v>5.3679695000000001</c:v>
                </c:pt>
                <c:pt idx="41">
                  <c:v>5.7407764999999999</c:v>
                </c:pt>
                <c:pt idx="42">
                  <c:v>7.1326844999999999</c:v>
                </c:pt>
                <c:pt idx="43">
                  <c:v>16.103908499999999</c:v>
                </c:pt>
                <c:pt idx="44">
                  <c:v>542.88262000000009</c:v>
                </c:pt>
                <c:pt idx="45">
                  <c:v>543.67530399999998</c:v>
                </c:pt>
                <c:pt idx="46">
                  <c:v>2999.9641700000002</c:v>
                </c:pt>
              </c:numCache>
            </c:numRef>
          </c:val>
          <c:smooth val="0"/>
          <c:extLst>
            <c:ext xmlns:c16="http://schemas.microsoft.com/office/drawing/2014/chart" uri="{C3380CC4-5D6E-409C-BE32-E72D297353CC}">
              <c16:uniqueId val="{00000004-F662-41F2-BCC8-B533069213A0}"/>
            </c:ext>
          </c:extLst>
        </c:ser>
        <c:ser>
          <c:idx val="2"/>
          <c:order val="2"/>
          <c:spPr>
            <a:ln w="25400" cap="rnd">
              <a:noFill/>
              <a:round/>
            </a:ln>
            <a:effectLst/>
          </c:spPr>
          <c:marker>
            <c:symbol val="dash"/>
            <c:size val="5"/>
            <c:spPr>
              <a:solidFill>
                <a:schemeClr val="tx1"/>
              </a:solidFill>
              <a:ln>
                <a:noFill/>
              </a:ln>
              <a:effectLst/>
            </c:spPr>
          </c:marker>
          <c:cat>
            <c:strRef>
              <c:f>'Actions robustes - V. PUBLIABLE'!$B$3:$B$49</c:f>
              <c:strCache>
                <c:ptCount val="47"/>
                <c:pt idx="0">
                  <c:v>Transmission, wifi, 1000 Mo</c:v>
                </c:pt>
                <c:pt idx="1">
                  <c:v>Paiement, e-banking, 1 paiement</c:v>
                </c:pt>
                <c:pt idx="2">
                  <c:v>Lecture, newsletter mail, 300 ko, 10 min</c:v>
                </c:pt>
                <c:pt idx="3">
                  <c:v>Ecoute, radio, live, FM, 1 h</c:v>
                </c:pt>
                <c:pt idx="4">
                  <c:v>Transmission, wifi, 1 h</c:v>
                </c:pt>
                <c:pt idx="5">
                  <c:v>Envoi email, 1 email, pièce jointe 1 Mo</c:v>
                </c:pt>
                <c:pt idx="6">
                  <c:v>Impression, noir et blanc, recto, 1 feuille A4</c:v>
                </c:pt>
                <c:pt idx="7">
                  <c:v>Transmission, fibre, 1000 Mo</c:v>
                </c:pt>
                <c:pt idx="8">
                  <c:v>Ecoute, musique, streaming, smartphone, 1 h</c:v>
                </c:pt>
                <c:pt idx="9">
                  <c:v>Ordinateur, usage bureautique, 1 h</c:v>
                </c:pt>
                <c:pt idx="10">
                  <c:v>Video, streaming, smartphone, LD, 1 h</c:v>
                </c:pt>
                <c:pt idx="11">
                  <c:v>Ecoute, radio, live, laptop, 1 h</c:v>
                </c:pt>
                <c:pt idx="12">
                  <c:v>Lecture, journal local, ordinateur, PDF téléchargé</c:v>
                </c:pt>
                <c:pt idx="13">
                  <c:v>Ecoute, radio, replay, laptop, 1 h</c:v>
                </c:pt>
                <c:pt idx="14">
                  <c:v>Stockage, disque externe, 1000 photos, 1 an</c:v>
                </c:pt>
                <c:pt idx="15">
                  <c:v>Video, streaming, laptop, youtube, LD, 1 h</c:v>
                </c:pt>
                <c:pt idx="16">
                  <c:v>Recherche, moteur de recherche, laptop, 100 recherches, 1 h</c:v>
                </c:pt>
                <c:pt idx="17">
                  <c:v>Eau bouillie, bouilloire, 1 L</c:v>
                </c:pt>
                <c:pt idx="18">
                  <c:v>Video, live, smartphone, téléjournal, SD, 1 h</c:v>
                </c:pt>
                <c:pt idx="19">
                  <c:v>Lecture, journal local, ordinateur, lecture en ligne</c:v>
                </c:pt>
                <c:pt idx="20">
                  <c:v>Transmission, données mobiles, 1000 Mo</c:v>
                </c:pt>
                <c:pt idx="21">
                  <c:v>Discussion, par tele-conference, partage d'écran, SANS vidéo, 2 personnes, 1 h</c:v>
                </c:pt>
                <c:pt idx="22">
                  <c:v>Video, streaming, laptop, fournisseur de films, SD, 1 h</c:v>
                </c:pt>
                <c:pt idx="23">
                  <c:v>Discussion, par tele-conference, partage d'écran, AVEC vidéo, 2 personnes, 1 h</c:v>
                </c:pt>
                <c:pt idx="24">
                  <c:v>Video, streaming, ecran TV, fournisseur de films, SD, 1 h</c:v>
                </c:pt>
                <c:pt idx="25">
                  <c:v>Video, live, laptop, téléjournal, HD, 1 h</c:v>
                </c:pt>
                <c:pt idx="26">
                  <c:v>Video, streaming (replay), laptop, téléjournal, HD, 1 h</c:v>
                </c:pt>
                <c:pt idx="27">
                  <c:v>Lecture, journal local, papier</c:v>
                </c:pt>
                <c:pt idx="28">
                  <c:v>Video, streaming, laptop, fournisseur de films, HD, 1 h</c:v>
                </c:pt>
                <c:pt idx="29">
                  <c:v>Video, streaming, ecran TV, fournisseur de films, HD, 1 h</c:v>
                </c:pt>
                <c:pt idx="30">
                  <c:v>Lecture, roman e-book, 300 pages</c:v>
                </c:pt>
                <c:pt idx="31">
                  <c:v>Trajet voiture, 1 km</c:v>
                </c:pt>
                <c:pt idx="32">
                  <c:v>Café, unité</c:v>
                </c:pt>
                <c:pt idx="33">
                  <c:v>Lecture, roman papier, achat en librairie, 300 pages</c:v>
                </c:pt>
                <c:pt idx="34">
                  <c:v>Carottes suisses, cuites, 250 g</c:v>
                </c:pt>
                <c:pt idx="35">
                  <c:v>Lecture, roman papier, achat en ligne, 300 pages</c:v>
                </c:pt>
                <c:pt idx="36">
                  <c:v>Stockage, cloud, 1000 photos, 1 an</c:v>
                </c:pt>
                <c:pt idx="37">
                  <c:v>Stockage, cloud, 1000 emails, 5 ans</c:v>
                </c:pt>
                <c:pt idx="38">
                  <c:v>Envoi email, 1000 emails, sans logo</c:v>
                </c:pt>
                <c:pt idx="39">
                  <c:v>Envoi email, 1000 emails, avec logo</c:v>
                </c:pt>
                <c:pt idx="40">
                  <c:v>Chaussures, commande en ligne, une paire</c:v>
                </c:pt>
                <c:pt idx="41">
                  <c:v>Chaussures, achat en magasin, une paire</c:v>
                </c:pt>
                <c:pt idx="42">
                  <c:v>Entrecôte de boeuf suisse, 250 g</c:v>
                </c:pt>
                <c:pt idx="43">
                  <c:v>Chaussures, commande en ligne, trois paires, deux renvoyées et détruites</c:v>
                </c:pt>
                <c:pt idx="44">
                  <c:v>Trajet avion, Lausanne-Berlin, classe eco, aller-retour, un passager</c:v>
                </c:pt>
                <c:pt idx="45">
                  <c:v>Trajet voiture, Lausanne-Berlin, aller-retour</c:v>
                </c:pt>
                <c:pt idx="46">
                  <c:v>Trajet avion, Genève-New York, classe eco, aller-retour, un passager</c:v>
                </c:pt>
              </c:strCache>
            </c:strRef>
          </c:cat>
          <c:val>
            <c:numRef>
              <c:f>'Actions robustes - V. PUBLIABLE'!$I$3:$I$49</c:f>
              <c:numCache>
                <c:formatCode>0.000</c:formatCode>
                <c:ptCount val="47"/>
                <c:pt idx="0">
                  <c:v>1.5697042399999998E-3</c:v>
                </c:pt>
                <c:pt idx="1">
                  <c:v>4.7895300000000002E-3</c:v>
                </c:pt>
                <c:pt idx="2">
                  <c:v>7.9725000000000004E-3</c:v>
                </c:pt>
                <c:pt idx="3">
                  <c:v>1.9903348000000001E-2</c:v>
                </c:pt>
                <c:pt idx="4">
                  <c:v>9.5631208199999998E-3</c:v>
                </c:pt>
                <c:pt idx="5">
                  <c:v>1.6336478200000001E-2</c:v>
                </c:pt>
                <c:pt idx="6">
                  <c:v>8.9565889399999994E-3</c:v>
                </c:pt>
                <c:pt idx="7">
                  <c:v>4.6844549999999999E-2</c:v>
                </c:pt>
                <c:pt idx="8">
                  <c:v>3.3072043500000002E-2</c:v>
                </c:pt>
                <c:pt idx="9">
                  <c:v>2.06866855E-2</c:v>
                </c:pt>
                <c:pt idx="10">
                  <c:v>6.1691584000000001E-2</c:v>
                </c:pt>
                <c:pt idx="11">
                  <c:v>4.6682484000000003E-2</c:v>
                </c:pt>
                <c:pt idx="12">
                  <c:v>5.2799572500000003E-2</c:v>
                </c:pt>
                <c:pt idx="13">
                  <c:v>5.8688134500000003E-2</c:v>
                </c:pt>
                <c:pt idx="14">
                  <c:v>5.6801931E-2</c:v>
                </c:pt>
                <c:pt idx="15">
                  <c:v>9.1390202000000004E-2</c:v>
                </c:pt>
                <c:pt idx="16">
                  <c:v>7.1184019500000001E-2</c:v>
                </c:pt>
                <c:pt idx="17">
                  <c:v>7.776937560000001E-2</c:v>
                </c:pt>
                <c:pt idx="18">
                  <c:v>0.14018641000000001</c:v>
                </c:pt>
                <c:pt idx="19">
                  <c:v>7.7269616200000002E-2</c:v>
                </c:pt>
                <c:pt idx="20">
                  <c:v>0.175955258</c:v>
                </c:pt>
                <c:pt idx="21">
                  <c:v>7.6657974899999995E-2</c:v>
                </c:pt>
                <c:pt idx="22">
                  <c:v>0.14851378000000001</c:v>
                </c:pt>
                <c:pt idx="23">
                  <c:v>0.1154045816</c:v>
                </c:pt>
                <c:pt idx="24">
                  <c:v>0.17017040999999999</c:v>
                </c:pt>
                <c:pt idx="25">
                  <c:v>0.14199023099999999</c:v>
                </c:pt>
                <c:pt idx="26">
                  <c:v>0.15422801999999999</c:v>
                </c:pt>
                <c:pt idx="27">
                  <c:v>0.133651882</c:v>
                </c:pt>
                <c:pt idx="28">
                  <c:v>0.41128224000000002</c:v>
                </c:pt>
                <c:pt idx="29">
                  <c:v>0.36724675499999998</c:v>
                </c:pt>
                <c:pt idx="30">
                  <c:v>0.31780000000000003</c:v>
                </c:pt>
                <c:pt idx="31">
                  <c:v>0.416732251</c:v>
                </c:pt>
                <c:pt idx="32">
                  <c:v>0.16445101400000001</c:v>
                </c:pt>
                <c:pt idx="33">
                  <c:v>0.671424468</c:v>
                </c:pt>
                <c:pt idx="34">
                  <c:v>0.50803485999999998</c:v>
                </c:pt>
                <c:pt idx="35">
                  <c:v>14.0322335</c:v>
                </c:pt>
                <c:pt idx="36">
                  <c:v>8.4359999999999999</c:v>
                </c:pt>
                <c:pt idx="37">
                  <c:v>11</c:v>
                </c:pt>
                <c:pt idx="38">
                  <c:v>11.240815400000001</c:v>
                </c:pt>
                <c:pt idx="39">
                  <c:v>11.3619004</c:v>
                </c:pt>
                <c:pt idx="40">
                  <c:v>16.103908499999999</c:v>
                </c:pt>
                <c:pt idx="41">
                  <c:v>17.222329500000001</c:v>
                </c:pt>
                <c:pt idx="42">
                  <c:v>28.530737999999999</c:v>
                </c:pt>
                <c:pt idx="43">
                  <c:v>48.311725499999994</c:v>
                </c:pt>
                <c:pt idx="44">
                  <c:v>1008.2105799999999</c:v>
                </c:pt>
                <c:pt idx="45">
                  <c:v>815.51295599999992</c:v>
                </c:pt>
                <c:pt idx="46">
                  <c:v>5571.3620299999993</c:v>
                </c:pt>
              </c:numCache>
            </c:numRef>
          </c:val>
          <c:smooth val="0"/>
          <c:extLst>
            <c:ext xmlns:c16="http://schemas.microsoft.com/office/drawing/2014/chart" uri="{C3380CC4-5D6E-409C-BE32-E72D297353CC}">
              <c16:uniqueId val="{00000005-F662-41F2-BCC8-B533069213A0}"/>
            </c:ext>
          </c:extLst>
        </c:ser>
        <c:dLbls>
          <c:showLegendKey val="0"/>
          <c:showVal val="0"/>
          <c:showCatName val="0"/>
          <c:showSerName val="0"/>
          <c:showPercent val="0"/>
          <c:showBubbleSize val="0"/>
        </c:dLbls>
        <c:hiLowLines>
          <c:spPr>
            <a:ln w="25400" cap="flat" cmpd="sng" algn="ctr">
              <a:solidFill>
                <a:schemeClr val="tx1">
                  <a:lumMod val="65000"/>
                  <a:lumOff val="35000"/>
                </a:schemeClr>
              </a:solidFill>
              <a:round/>
            </a:ln>
            <a:effectLst/>
          </c:spPr>
        </c:hiLowLines>
        <c:axId val="638097768"/>
        <c:axId val="638095800"/>
      </c:stockChart>
      <c:catAx>
        <c:axId val="638097768"/>
        <c:scaling>
          <c:orientation val="minMax"/>
        </c:scaling>
        <c:delete val="0"/>
        <c:axPos val="b"/>
        <c:numFmt formatCode="General" sourceLinked="1"/>
        <c:majorTickMark val="none"/>
        <c:minorTickMark val="none"/>
        <c:tickLblPos val="low"/>
        <c:spPr>
          <a:noFill/>
          <a:ln w="9525" cap="flat" cmpd="sng" algn="ctr">
            <a:solidFill>
              <a:schemeClr val="tx1">
                <a:lumMod val="35000"/>
                <a:lumOff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de-DE"/>
          </a:p>
        </c:txPr>
        <c:crossAx val="638095800"/>
        <c:crossesAt val="0.1"/>
        <c:auto val="1"/>
        <c:lblAlgn val="ctr"/>
        <c:lblOffset val="100"/>
        <c:noMultiLvlLbl val="0"/>
      </c:catAx>
      <c:valAx>
        <c:axId val="638095800"/>
        <c:scaling>
          <c:orientation val="minMax"/>
          <c:max val="1.2"/>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solidFill>
              <a:schemeClr val="accent1">
                <a:alpha val="99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638097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r>
              <a:rPr lang="de-CH" b="1"/>
              <a:t>Ecoscore [UCE]</a:t>
            </a:r>
          </a:p>
        </c:rich>
      </c:tx>
      <c:layout/>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manualLayout>
          <c:layoutTarget val="inner"/>
          <c:xMode val="edge"/>
          <c:yMode val="edge"/>
          <c:x val="3.3429246191469378E-2"/>
          <c:y val="7.3606571584212355E-2"/>
          <c:w val="0.96136063886078915"/>
          <c:h val="0.61871019660278315"/>
        </c:manualLayout>
      </c:layout>
      <c:stockChart>
        <c:ser>
          <c:idx val="0"/>
          <c:order val="0"/>
          <c:spPr>
            <a:ln w="25400" cap="rnd">
              <a:noFill/>
              <a:round/>
            </a:ln>
            <a:effectLst/>
          </c:spPr>
          <c:marker>
            <c:symbol val="circle"/>
            <c:size val="8"/>
            <c:spPr>
              <a:solidFill>
                <a:srgbClr val="00B050"/>
              </a:solidFill>
              <a:ln>
                <a:noFill/>
              </a:ln>
              <a:effectLst/>
            </c:spPr>
          </c:marker>
          <c:cat>
            <c:strRef>
              <c:f>'Actions non comparables - V. PU'!$B$3:$B$19</c:f>
              <c:strCache>
                <c:ptCount val="17"/>
                <c:pt idx="0">
                  <c:v>Message texte, en ligne, 1 message</c:v>
                </c:pt>
                <c:pt idx="1">
                  <c:v>Appel, telephone portable, 1 h</c:v>
                </c:pt>
                <c:pt idx="2">
                  <c:v>Appel, telephone fixe, 1 h</c:v>
                </c:pt>
                <c:pt idx="3">
                  <c:v>Appel, telephone portable, whatsapp, 1 h</c:v>
                </c:pt>
                <c:pt idx="4">
                  <c:v>Message vocal, en ligne, whatsapp, 1 h</c:v>
                </c:pt>
                <c:pt idx="5">
                  <c:v>Ecoute, musique, CD, 1 h</c:v>
                </c:pt>
                <c:pt idx="6">
                  <c:v>Transmission, 5G, 1000 Mo</c:v>
                </c:pt>
                <c:pt idx="7">
                  <c:v>Jeu vidéo, acheté en magasin, offline, 1 h</c:v>
                </c:pt>
                <c:pt idx="8">
                  <c:v>Jeu vidéo, téléchargé, offline, 1 h</c:v>
                </c:pt>
                <c:pt idx="9">
                  <c:v>Jeu vidéo, réalité virtuelle, 1 h</c:v>
                </c:pt>
                <c:pt idx="10">
                  <c:v>Transmission, ADSL, 1000 Mo</c:v>
                </c:pt>
                <c:pt idx="11">
                  <c:v>Lecture, journal international, ordinateur, lecture en ligne</c:v>
                </c:pt>
                <c:pt idx="12">
                  <c:v>Video, live, réseau TV, 1 h</c:v>
                </c:pt>
                <c:pt idx="13">
                  <c:v>Jeu vidéo, téléchargé, en ligne, 1 h</c:v>
                </c:pt>
                <c:pt idx="14">
                  <c:v>Jeu vidéo, streaming, twitch, 1 h</c:v>
                </c:pt>
                <c:pt idx="15">
                  <c:v>Transmission, 4G, 1000 Mo</c:v>
                </c:pt>
                <c:pt idx="16">
                  <c:v>Lecture, journal international, papier</c:v>
                </c:pt>
              </c:strCache>
            </c:strRef>
          </c:cat>
          <c:val>
            <c:numRef>
              <c:f>'Actions non comparables - V. PU'!$G$3:$G$19</c:f>
              <c:numCache>
                <c:formatCode>0</c:formatCode>
                <c:ptCount val="17"/>
                <c:pt idx="0" formatCode="0.0">
                  <c:v>0.33099667958134404</c:v>
                </c:pt>
                <c:pt idx="1">
                  <c:v>11.977133861136949</c:v>
                </c:pt>
                <c:pt idx="2">
                  <c:v>13.465215331960669</c:v>
                </c:pt>
                <c:pt idx="3">
                  <c:v>13.93633574224204</c:v>
                </c:pt>
                <c:pt idx="4">
                  <c:v>15.2718451462299</c:v>
                </c:pt>
                <c:pt idx="5">
                  <c:v>17.312235200913868</c:v>
                </c:pt>
                <c:pt idx="6">
                  <c:v>29.744354649810532</c:v>
                </c:pt>
                <c:pt idx="7">
                  <c:v>35.005687060780502</c:v>
                </c:pt>
                <c:pt idx="8">
                  <c:v>42.501973704446463</c:v>
                </c:pt>
                <c:pt idx="9">
                  <c:v>51.137872897834605</c:v>
                </c:pt>
                <c:pt idx="10">
                  <c:v>63.609473438008408</c:v>
                </c:pt>
                <c:pt idx="11">
                  <c:v>74.138500861070739</c:v>
                </c:pt>
                <c:pt idx="12">
                  <c:v>125.3715286226643</c:v>
                </c:pt>
                <c:pt idx="13">
                  <c:v>178.6164082908914</c:v>
                </c:pt>
                <c:pt idx="14">
                  <c:v>279.27793217704232</c:v>
                </c:pt>
                <c:pt idx="15">
                  <c:v>292.97211279539545</c:v>
                </c:pt>
                <c:pt idx="16">
                  <c:v>937.170910924483</c:v>
                </c:pt>
              </c:numCache>
            </c:numRef>
          </c:val>
          <c:smooth val="0"/>
          <c:extLst>
            <c:ext xmlns:c16="http://schemas.microsoft.com/office/drawing/2014/chart" uri="{C3380CC4-5D6E-409C-BE32-E72D297353CC}">
              <c16:uniqueId val="{00000003-5856-4FB1-870F-A1FBEB99B8C7}"/>
            </c:ext>
          </c:extLst>
        </c:ser>
        <c:ser>
          <c:idx val="1"/>
          <c:order val="1"/>
          <c:spPr>
            <a:ln w="25400" cap="rnd">
              <a:noFill/>
              <a:round/>
            </a:ln>
            <a:effectLst/>
          </c:spPr>
          <c:marker>
            <c:symbol val="dash"/>
            <c:size val="5"/>
            <c:spPr>
              <a:solidFill>
                <a:schemeClr val="tx1"/>
              </a:solidFill>
              <a:ln>
                <a:noFill/>
              </a:ln>
              <a:effectLst/>
            </c:spPr>
          </c:marker>
          <c:cat>
            <c:strRef>
              <c:f>'Actions non comparables - V. PU'!$B$3:$B$19</c:f>
              <c:strCache>
                <c:ptCount val="17"/>
                <c:pt idx="0">
                  <c:v>Message texte, en ligne, 1 message</c:v>
                </c:pt>
                <c:pt idx="1">
                  <c:v>Appel, telephone portable, 1 h</c:v>
                </c:pt>
                <c:pt idx="2">
                  <c:v>Appel, telephone fixe, 1 h</c:v>
                </c:pt>
                <c:pt idx="3">
                  <c:v>Appel, telephone portable, whatsapp, 1 h</c:v>
                </c:pt>
                <c:pt idx="4">
                  <c:v>Message vocal, en ligne, whatsapp, 1 h</c:v>
                </c:pt>
                <c:pt idx="5">
                  <c:v>Ecoute, musique, CD, 1 h</c:v>
                </c:pt>
                <c:pt idx="6">
                  <c:v>Transmission, 5G, 1000 Mo</c:v>
                </c:pt>
                <c:pt idx="7">
                  <c:v>Jeu vidéo, acheté en magasin, offline, 1 h</c:v>
                </c:pt>
                <c:pt idx="8">
                  <c:v>Jeu vidéo, téléchargé, offline, 1 h</c:v>
                </c:pt>
                <c:pt idx="9">
                  <c:v>Jeu vidéo, réalité virtuelle, 1 h</c:v>
                </c:pt>
                <c:pt idx="10">
                  <c:v>Transmission, ADSL, 1000 Mo</c:v>
                </c:pt>
                <c:pt idx="11">
                  <c:v>Lecture, journal international, ordinateur, lecture en ligne</c:v>
                </c:pt>
                <c:pt idx="12">
                  <c:v>Video, live, réseau TV, 1 h</c:v>
                </c:pt>
                <c:pt idx="13">
                  <c:v>Jeu vidéo, téléchargé, en ligne, 1 h</c:v>
                </c:pt>
                <c:pt idx="14">
                  <c:v>Jeu vidéo, streaming, twitch, 1 h</c:v>
                </c:pt>
                <c:pt idx="15">
                  <c:v>Transmission, 4G, 1000 Mo</c:v>
                </c:pt>
                <c:pt idx="16">
                  <c:v>Lecture, journal international, papier</c:v>
                </c:pt>
              </c:strCache>
            </c:strRef>
          </c:cat>
          <c:val>
            <c:numRef>
              <c:f>'Actions non comparables - V. PU'!$J$3:$J$19</c:f>
              <c:numCache>
                <c:formatCode>0</c:formatCode>
                <c:ptCount val="17"/>
                <c:pt idx="0" formatCode="0.0">
                  <c:v>0.16549833979067202</c:v>
                </c:pt>
                <c:pt idx="1">
                  <c:v>5.9885669305684743</c:v>
                </c:pt>
                <c:pt idx="2">
                  <c:v>6.7326076659803347</c:v>
                </c:pt>
                <c:pt idx="3">
                  <c:v>6.96816787112102</c:v>
                </c:pt>
                <c:pt idx="4">
                  <c:v>7.63592257311495</c:v>
                </c:pt>
                <c:pt idx="5">
                  <c:v>8.656117600456934</c:v>
                </c:pt>
                <c:pt idx="6">
                  <c:v>7.436088662452633</c:v>
                </c:pt>
                <c:pt idx="7">
                  <c:v>17.502843530390251</c:v>
                </c:pt>
                <c:pt idx="8">
                  <c:v>21.250986852223232</c:v>
                </c:pt>
                <c:pt idx="9">
                  <c:v>25.568936448917302</c:v>
                </c:pt>
                <c:pt idx="10">
                  <c:v>15.902368359502102</c:v>
                </c:pt>
                <c:pt idx="11">
                  <c:v>44.483100516642438</c:v>
                </c:pt>
                <c:pt idx="12">
                  <c:v>62.68576431133215</c:v>
                </c:pt>
                <c:pt idx="13">
                  <c:v>89.3082041454457</c:v>
                </c:pt>
                <c:pt idx="14">
                  <c:v>93.092644059014106</c:v>
                </c:pt>
                <c:pt idx="15">
                  <c:v>73.243028198848862</c:v>
                </c:pt>
                <c:pt idx="16">
                  <c:v>93.7170910924483</c:v>
                </c:pt>
              </c:numCache>
            </c:numRef>
          </c:val>
          <c:smooth val="0"/>
          <c:extLst>
            <c:ext xmlns:c16="http://schemas.microsoft.com/office/drawing/2014/chart" uri="{C3380CC4-5D6E-409C-BE32-E72D297353CC}">
              <c16:uniqueId val="{00000004-5856-4FB1-870F-A1FBEB99B8C7}"/>
            </c:ext>
          </c:extLst>
        </c:ser>
        <c:ser>
          <c:idx val="2"/>
          <c:order val="2"/>
          <c:spPr>
            <a:ln w="25400" cap="rnd">
              <a:noFill/>
              <a:round/>
            </a:ln>
            <a:effectLst/>
          </c:spPr>
          <c:marker>
            <c:symbol val="dash"/>
            <c:size val="5"/>
            <c:spPr>
              <a:solidFill>
                <a:srgbClr val="002060"/>
              </a:solidFill>
              <a:ln>
                <a:noFill/>
              </a:ln>
              <a:effectLst/>
            </c:spPr>
          </c:marker>
          <c:cat>
            <c:strRef>
              <c:f>'Actions non comparables - V. PU'!$B$3:$B$19</c:f>
              <c:strCache>
                <c:ptCount val="17"/>
                <c:pt idx="0">
                  <c:v>Message texte, en ligne, 1 message</c:v>
                </c:pt>
                <c:pt idx="1">
                  <c:v>Appel, telephone portable, 1 h</c:v>
                </c:pt>
                <c:pt idx="2">
                  <c:v>Appel, telephone fixe, 1 h</c:v>
                </c:pt>
                <c:pt idx="3">
                  <c:v>Appel, telephone portable, whatsapp, 1 h</c:v>
                </c:pt>
                <c:pt idx="4">
                  <c:v>Message vocal, en ligne, whatsapp, 1 h</c:v>
                </c:pt>
                <c:pt idx="5">
                  <c:v>Ecoute, musique, CD, 1 h</c:v>
                </c:pt>
                <c:pt idx="6">
                  <c:v>Transmission, 5G, 1000 Mo</c:v>
                </c:pt>
                <c:pt idx="7">
                  <c:v>Jeu vidéo, acheté en magasin, offline, 1 h</c:v>
                </c:pt>
                <c:pt idx="8">
                  <c:v>Jeu vidéo, téléchargé, offline, 1 h</c:v>
                </c:pt>
                <c:pt idx="9">
                  <c:v>Jeu vidéo, réalité virtuelle, 1 h</c:v>
                </c:pt>
                <c:pt idx="10">
                  <c:v>Transmission, ADSL, 1000 Mo</c:v>
                </c:pt>
                <c:pt idx="11">
                  <c:v>Lecture, journal international, ordinateur, lecture en ligne</c:v>
                </c:pt>
                <c:pt idx="12">
                  <c:v>Video, live, réseau TV, 1 h</c:v>
                </c:pt>
                <c:pt idx="13">
                  <c:v>Jeu vidéo, téléchargé, en ligne, 1 h</c:v>
                </c:pt>
                <c:pt idx="14">
                  <c:v>Jeu vidéo, streaming, twitch, 1 h</c:v>
                </c:pt>
                <c:pt idx="15">
                  <c:v>Transmission, 4G, 1000 Mo</c:v>
                </c:pt>
                <c:pt idx="16">
                  <c:v>Lecture, journal international, papier</c:v>
                </c:pt>
              </c:strCache>
            </c:strRef>
          </c:cat>
          <c:val>
            <c:numRef>
              <c:f>'Actions non comparables - V. PU'!$K$3:$K$19</c:f>
              <c:numCache>
                <c:formatCode>0</c:formatCode>
                <c:ptCount val="17"/>
                <c:pt idx="0" formatCode="0.0">
                  <c:v>0.66199335916268809</c:v>
                </c:pt>
                <c:pt idx="1">
                  <c:v>23.954267722273897</c:v>
                </c:pt>
                <c:pt idx="2">
                  <c:v>26.930430663921339</c:v>
                </c:pt>
                <c:pt idx="3">
                  <c:v>20.904503613363062</c:v>
                </c:pt>
                <c:pt idx="4">
                  <c:v>30.5436902924598</c:v>
                </c:pt>
                <c:pt idx="5">
                  <c:v>34.624470401827736</c:v>
                </c:pt>
                <c:pt idx="6">
                  <c:v>118.97741859924213</c:v>
                </c:pt>
                <c:pt idx="7">
                  <c:v>52.508530591170754</c:v>
                </c:pt>
                <c:pt idx="8">
                  <c:v>63.752960556669692</c:v>
                </c:pt>
                <c:pt idx="9">
                  <c:v>76.706809346751911</c:v>
                </c:pt>
                <c:pt idx="10">
                  <c:v>254.43789375203363</c:v>
                </c:pt>
                <c:pt idx="11">
                  <c:v>103.79390120549904</c:v>
                </c:pt>
                <c:pt idx="12">
                  <c:v>188.05729293399645</c:v>
                </c:pt>
                <c:pt idx="13">
                  <c:v>357.2328165817828</c:v>
                </c:pt>
                <c:pt idx="14">
                  <c:v>837.83379653112695</c:v>
                </c:pt>
                <c:pt idx="15">
                  <c:v>1171.8884511815818</c:v>
                </c:pt>
                <c:pt idx="16">
                  <c:v>9371.70910924483</c:v>
                </c:pt>
              </c:numCache>
            </c:numRef>
          </c:val>
          <c:smooth val="0"/>
          <c:extLst>
            <c:ext xmlns:c16="http://schemas.microsoft.com/office/drawing/2014/chart" uri="{C3380CC4-5D6E-409C-BE32-E72D297353CC}">
              <c16:uniqueId val="{00000005-5856-4FB1-870F-A1FBEB99B8C7}"/>
            </c:ext>
          </c:extLst>
        </c:ser>
        <c:dLbls>
          <c:showLegendKey val="0"/>
          <c:showVal val="0"/>
          <c:showCatName val="0"/>
          <c:showSerName val="0"/>
          <c:showPercent val="0"/>
          <c:showBubbleSize val="0"/>
        </c:dLbls>
        <c:hiLowLines>
          <c:spPr>
            <a:ln w="25400" cap="flat" cmpd="sng" algn="ctr">
              <a:solidFill>
                <a:schemeClr val="tx1">
                  <a:lumMod val="65000"/>
                  <a:lumOff val="35000"/>
                </a:schemeClr>
              </a:solidFill>
              <a:round/>
            </a:ln>
            <a:effectLst/>
          </c:spPr>
        </c:hiLowLines>
        <c:axId val="638097768"/>
        <c:axId val="638095800"/>
      </c:stockChart>
      <c:catAx>
        <c:axId val="638097768"/>
        <c:scaling>
          <c:orientation val="minMax"/>
        </c:scaling>
        <c:delete val="0"/>
        <c:axPos val="b"/>
        <c:numFmt formatCode="General" sourceLinked="1"/>
        <c:majorTickMark val="none"/>
        <c:minorTickMark val="none"/>
        <c:tickLblPos val="nextTo"/>
        <c:spPr>
          <a:noFill/>
          <a:ln w="9525" cap="flat" cmpd="sng" algn="ctr">
            <a:solidFill>
              <a:schemeClr val="tx1">
                <a:lumMod val="35000"/>
                <a:lumOff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de-DE"/>
          </a:p>
        </c:txPr>
        <c:crossAx val="638095800"/>
        <c:crossesAt val="0.1"/>
        <c:auto val="1"/>
        <c:lblAlgn val="ctr"/>
        <c:lblOffset val="100"/>
        <c:noMultiLvlLbl val="0"/>
      </c:catAx>
      <c:valAx>
        <c:axId val="638095800"/>
        <c:scaling>
          <c:orientation val="minMax"/>
          <c:max val="2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638097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r>
              <a:rPr lang="de-CH" b="1"/>
              <a:t>Empreinte Carbone [CO2</a:t>
            </a:r>
            <a:r>
              <a:rPr lang="de-CH" b="1" baseline="0"/>
              <a:t> en kg</a:t>
            </a:r>
            <a:r>
              <a:rPr lang="de-CH" b="1"/>
              <a:t>]</a:t>
            </a:r>
          </a:p>
        </c:rich>
      </c:tx>
      <c:layout/>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manualLayout>
          <c:layoutTarget val="inner"/>
          <c:xMode val="edge"/>
          <c:yMode val="edge"/>
          <c:x val="3.3429246191469378E-2"/>
          <c:y val="7.3606571584212355E-2"/>
          <c:w val="0.96136063886078915"/>
          <c:h val="0.61871019660278315"/>
        </c:manualLayout>
      </c:layout>
      <c:stockChart>
        <c:ser>
          <c:idx val="0"/>
          <c:order val="0"/>
          <c:spPr>
            <a:ln w="25400" cap="rnd">
              <a:noFill/>
              <a:round/>
            </a:ln>
            <a:effectLst/>
          </c:spPr>
          <c:marker>
            <c:symbol val="circle"/>
            <c:size val="8"/>
            <c:spPr>
              <a:solidFill>
                <a:srgbClr val="00B050"/>
              </a:solidFill>
              <a:ln>
                <a:noFill/>
              </a:ln>
              <a:effectLst/>
            </c:spPr>
          </c:marker>
          <c:cat>
            <c:strRef>
              <c:f>'Actions non comparables - V. PU'!$B$3:$B$19</c:f>
              <c:strCache>
                <c:ptCount val="17"/>
                <c:pt idx="0">
                  <c:v>Message texte, en ligne, 1 message</c:v>
                </c:pt>
                <c:pt idx="1">
                  <c:v>Appel, telephone portable, 1 h</c:v>
                </c:pt>
                <c:pt idx="2">
                  <c:v>Appel, telephone fixe, 1 h</c:v>
                </c:pt>
                <c:pt idx="3">
                  <c:v>Appel, telephone portable, whatsapp, 1 h</c:v>
                </c:pt>
                <c:pt idx="4">
                  <c:v>Message vocal, en ligne, whatsapp, 1 h</c:v>
                </c:pt>
                <c:pt idx="5">
                  <c:v>Ecoute, musique, CD, 1 h</c:v>
                </c:pt>
                <c:pt idx="6">
                  <c:v>Transmission, 5G, 1000 Mo</c:v>
                </c:pt>
                <c:pt idx="7">
                  <c:v>Jeu vidéo, acheté en magasin, offline, 1 h</c:v>
                </c:pt>
                <c:pt idx="8">
                  <c:v>Jeu vidéo, téléchargé, offline, 1 h</c:v>
                </c:pt>
                <c:pt idx="9">
                  <c:v>Jeu vidéo, réalité virtuelle, 1 h</c:v>
                </c:pt>
                <c:pt idx="10">
                  <c:v>Transmission, ADSL, 1000 Mo</c:v>
                </c:pt>
                <c:pt idx="11">
                  <c:v>Lecture, journal international, ordinateur, lecture en ligne</c:v>
                </c:pt>
                <c:pt idx="12">
                  <c:v>Video, live, réseau TV, 1 h</c:v>
                </c:pt>
                <c:pt idx="13">
                  <c:v>Jeu vidéo, téléchargé, en ligne, 1 h</c:v>
                </c:pt>
                <c:pt idx="14">
                  <c:v>Jeu vidéo, streaming, twitch, 1 h</c:v>
                </c:pt>
                <c:pt idx="15">
                  <c:v>Transmission, 4G, 1000 Mo</c:v>
                </c:pt>
                <c:pt idx="16">
                  <c:v>Lecture, journal international, papier</c:v>
                </c:pt>
              </c:strCache>
            </c:strRef>
          </c:cat>
          <c:val>
            <c:numRef>
              <c:f>'Actions non comparables - V. PU'!$F$3:$F$19</c:f>
              <c:numCache>
                <c:formatCode>0.000</c:formatCode>
                <c:ptCount val="17"/>
                <c:pt idx="0" formatCode="0.0000">
                  <c:v>2.3910058E-4</c:v>
                </c:pt>
                <c:pt idx="1">
                  <c:v>9.2205654000000001E-3</c:v>
                </c:pt>
                <c:pt idx="2">
                  <c:v>1.3372922000000001E-2</c:v>
                </c:pt>
                <c:pt idx="3">
                  <c:v>1.1167678E-2</c:v>
                </c:pt>
                <c:pt idx="4">
                  <c:v>1.2499263E-2</c:v>
                </c:pt>
                <c:pt idx="5">
                  <c:v>2.4259216E-2</c:v>
                </c:pt>
                <c:pt idx="6">
                  <c:v>2.9473590000000001E-2</c:v>
                </c:pt>
                <c:pt idx="7">
                  <c:v>2.3317665000000001E-2</c:v>
                </c:pt>
                <c:pt idx="8">
                  <c:v>2.6666532E-2</c:v>
                </c:pt>
                <c:pt idx="9">
                  <c:v>3.4961933000000001E-2</c:v>
                </c:pt>
                <c:pt idx="10">
                  <c:v>5.3944858999999998E-2</c:v>
                </c:pt>
                <c:pt idx="11">
                  <c:v>5.5192583000000003E-2</c:v>
                </c:pt>
                <c:pt idx="12">
                  <c:v>0.11774149</c:v>
                </c:pt>
                <c:pt idx="13">
                  <c:v>0.14324999999999999</c:v>
                </c:pt>
                <c:pt idx="14">
                  <c:v>0.22940548999999999</c:v>
                </c:pt>
                <c:pt idx="15">
                  <c:v>0.29274176000000002</c:v>
                </c:pt>
                <c:pt idx="16">
                  <c:v>1.4641096</c:v>
                </c:pt>
              </c:numCache>
            </c:numRef>
          </c:val>
          <c:smooth val="0"/>
          <c:extLst>
            <c:ext xmlns:c16="http://schemas.microsoft.com/office/drawing/2014/chart" uri="{C3380CC4-5D6E-409C-BE32-E72D297353CC}">
              <c16:uniqueId val="{00000004-BA55-41D6-8624-48EBEA57748F}"/>
            </c:ext>
          </c:extLst>
        </c:ser>
        <c:ser>
          <c:idx val="1"/>
          <c:order val="1"/>
          <c:spPr>
            <a:ln w="25400" cap="rnd">
              <a:noFill/>
              <a:round/>
            </a:ln>
            <a:effectLst/>
          </c:spPr>
          <c:marker>
            <c:symbol val="dash"/>
            <c:size val="5"/>
            <c:spPr>
              <a:solidFill>
                <a:schemeClr val="tx1"/>
              </a:solidFill>
              <a:ln>
                <a:noFill/>
              </a:ln>
              <a:effectLst/>
            </c:spPr>
          </c:marker>
          <c:cat>
            <c:strRef>
              <c:f>'Actions non comparables - V. PU'!$B$3:$B$19</c:f>
              <c:strCache>
                <c:ptCount val="17"/>
                <c:pt idx="0">
                  <c:v>Message texte, en ligne, 1 message</c:v>
                </c:pt>
                <c:pt idx="1">
                  <c:v>Appel, telephone portable, 1 h</c:v>
                </c:pt>
                <c:pt idx="2">
                  <c:v>Appel, telephone fixe, 1 h</c:v>
                </c:pt>
                <c:pt idx="3">
                  <c:v>Appel, telephone portable, whatsapp, 1 h</c:v>
                </c:pt>
                <c:pt idx="4">
                  <c:v>Message vocal, en ligne, whatsapp, 1 h</c:v>
                </c:pt>
                <c:pt idx="5">
                  <c:v>Ecoute, musique, CD, 1 h</c:v>
                </c:pt>
                <c:pt idx="6">
                  <c:v>Transmission, 5G, 1000 Mo</c:v>
                </c:pt>
                <c:pt idx="7">
                  <c:v>Jeu vidéo, acheté en magasin, offline, 1 h</c:v>
                </c:pt>
                <c:pt idx="8">
                  <c:v>Jeu vidéo, téléchargé, offline, 1 h</c:v>
                </c:pt>
                <c:pt idx="9">
                  <c:v>Jeu vidéo, réalité virtuelle, 1 h</c:v>
                </c:pt>
                <c:pt idx="10">
                  <c:v>Transmission, ADSL, 1000 Mo</c:v>
                </c:pt>
                <c:pt idx="11">
                  <c:v>Lecture, journal international, ordinateur, lecture en ligne</c:v>
                </c:pt>
                <c:pt idx="12">
                  <c:v>Video, live, réseau TV, 1 h</c:v>
                </c:pt>
                <c:pt idx="13">
                  <c:v>Jeu vidéo, téléchargé, en ligne, 1 h</c:v>
                </c:pt>
                <c:pt idx="14">
                  <c:v>Jeu vidéo, streaming, twitch, 1 h</c:v>
                </c:pt>
                <c:pt idx="15">
                  <c:v>Transmission, 4G, 1000 Mo</c:v>
                </c:pt>
                <c:pt idx="16">
                  <c:v>Lecture, journal international, papier</c:v>
                </c:pt>
              </c:strCache>
            </c:strRef>
          </c:cat>
          <c:val>
            <c:numRef>
              <c:f>'Actions non comparables - V. PU'!$H$3:$H$19</c:f>
              <c:numCache>
                <c:formatCode>0.000</c:formatCode>
                <c:ptCount val="17"/>
                <c:pt idx="0" formatCode="0.0000">
                  <c:v>1.1955029E-4</c:v>
                </c:pt>
                <c:pt idx="1">
                  <c:v>4.6102827000000001E-3</c:v>
                </c:pt>
                <c:pt idx="2">
                  <c:v>6.6864610000000003E-3</c:v>
                </c:pt>
                <c:pt idx="3">
                  <c:v>5.5838390000000002E-3</c:v>
                </c:pt>
                <c:pt idx="4">
                  <c:v>6.2496315E-3</c:v>
                </c:pt>
                <c:pt idx="5">
                  <c:v>1.2129608E-2</c:v>
                </c:pt>
                <c:pt idx="6">
                  <c:v>7.3683975000000002E-3</c:v>
                </c:pt>
                <c:pt idx="7">
                  <c:v>1.1658832500000001E-2</c:v>
                </c:pt>
                <c:pt idx="8">
                  <c:v>1.3333266E-2</c:v>
                </c:pt>
                <c:pt idx="9">
                  <c:v>1.74809665E-2</c:v>
                </c:pt>
                <c:pt idx="10">
                  <c:v>1.3486214749999999E-2</c:v>
                </c:pt>
                <c:pt idx="11">
                  <c:v>3.3115549800000005E-2</c:v>
                </c:pt>
                <c:pt idx="12">
                  <c:v>5.8870745000000002E-2</c:v>
                </c:pt>
                <c:pt idx="13">
                  <c:v>7.1624999999999994E-2</c:v>
                </c:pt>
                <c:pt idx="14">
                  <c:v>7.6468496666666663E-2</c:v>
                </c:pt>
                <c:pt idx="15">
                  <c:v>7.3185440000000004E-2</c:v>
                </c:pt>
                <c:pt idx="16">
                  <c:v>0.14641096000000001</c:v>
                </c:pt>
              </c:numCache>
            </c:numRef>
          </c:val>
          <c:smooth val="0"/>
          <c:extLst>
            <c:ext xmlns:c16="http://schemas.microsoft.com/office/drawing/2014/chart" uri="{C3380CC4-5D6E-409C-BE32-E72D297353CC}">
              <c16:uniqueId val="{00000005-BA55-41D6-8624-48EBEA57748F}"/>
            </c:ext>
          </c:extLst>
        </c:ser>
        <c:ser>
          <c:idx val="2"/>
          <c:order val="2"/>
          <c:spPr>
            <a:ln w="25400" cap="rnd">
              <a:noFill/>
              <a:round/>
            </a:ln>
            <a:effectLst/>
          </c:spPr>
          <c:marker>
            <c:symbol val="dash"/>
            <c:size val="5"/>
            <c:spPr>
              <a:solidFill>
                <a:schemeClr val="tx1"/>
              </a:solidFill>
              <a:ln>
                <a:noFill/>
              </a:ln>
              <a:effectLst/>
            </c:spPr>
          </c:marker>
          <c:cat>
            <c:strRef>
              <c:f>'Actions non comparables - V. PU'!$B$3:$B$19</c:f>
              <c:strCache>
                <c:ptCount val="17"/>
                <c:pt idx="0">
                  <c:v>Message texte, en ligne, 1 message</c:v>
                </c:pt>
                <c:pt idx="1">
                  <c:v>Appel, telephone portable, 1 h</c:v>
                </c:pt>
                <c:pt idx="2">
                  <c:v>Appel, telephone fixe, 1 h</c:v>
                </c:pt>
                <c:pt idx="3">
                  <c:v>Appel, telephone portable, whatsapp, 1 h</c:v>
                </c:pt>
                <c:pt idx="4">
                  <c:v>Message vocal, en ligne, whatsapp, 1 h</c:v>
                </c:pt>
                <c:pt idx="5">
                  <c:v>Ecoute, musique, CD, 1 h</c:v>
                </c:pt>
                <c:pt idx="6">
                  <c:v>Transmission, 5G, 1000 Mo</c:v>
                </c:pt>
                <c:pt idx="7">
                  <c:v>Jeu vidéo, acheté en magasin, offline, 1 h</c:v>
                </c:pt>
                <c:pt idx="8">
                  <c:v>Jeu vidéo, téléchargé, offline, 1 h</c:v>
                </c:pt>
                <c:pt idx="9">
                  <c:v>Jeu vidéo, réalité virtuelle, 1 h</c:v>
                </c:pt>
                <c:pt idx="10">
                  <c:v>Transmission, ADSL, 1000 Mo</c:v>
                </c:pt>
                <c:pt idx="11">
                  <c:v>Lecture, journal international, ordinateur, lecture en ligne</c:v>
                </c:pt>
                <c:pt idx="12">
                  <c:v>Video, live, réseau TV, 1 h</c:v>
                </c:pt>
                <c:pt idx="13">
                  <c:v>Jeu vidéo, téléchargé, en ligne, 1 h</c:v>
                </c:pt>
                <c:pt idx="14">
                  <c:v>Jeu vidéo, streaming, twitch, 1 h</c:v>
                </c:pt>
                <c:pt idx="15">
                  <c:v>Transmission, 4G, 1000 Mo</c:v>
                </c:pt>
                <c:pt idx="16">
                  <c:v>Lecture, journal international, papier</c:v>
                </c:pt>
              </c:strCache>
            </c:strRef>
          </c:cat>
          <c:val>
            <c:numRef>
              <c:f>'Actions non comparables - V. PU'!$I$3:$I$19</c:f>
              <c:numCache>
                <c:formatCode>0.000</c:formatCode>
                <c:ptCount val="17"/>
                <c:pt idx="0" formatCode="0.0000">
                  <c:v>4.7820116E-4</c:v>
                </c:pt>
                <c:pt idx="1">
                  <c:v>1.84411308E-2</c:v>
                </c:pt>
                <c:pt idx="2">
                  <c:v>2.6745844000000001E-2</c:v>
                </c:pt>
                <c:pt idx="3">
                  <c:v>1.6751517E-2</c:v>
                </c:pt>
                <c:pt idx="4">
                  <c:v>2.4998526E-2</c:v>
                </c:pt>
                <c:pt idx="5">
                  <c:v>4.8518432E-2</c:v>
                </c:pt>
                <c:pt idx="6">
                  <c:v>0.11789436</c:v>
                </c:pt>
                <c:pt idx="7">
                  <c:v>3.4976497500000002E-2</c:v>
                </c:pt>
                <c:pt idx="8">
                  <c:v>3.9999798000000003E-2</c:v>
                </c:pt>
                <c:pt idx="9">
                  <c:v>5.2442899500000001E-2</c:v>
                </c:pt>
                <c:pt idx="10">
                  <c:v>0.21577943599999999</c:v>
                </c:pt>
                <c:pt idx="11">
                  <c:v>7.7269616200000002E-2</c:v>
                </c:pt>
                <c:pt idx="12">
                  <c:v>0.17661223500000001</c:v>
                </c:pt>
                <c:pt idx="13">
                  <c:v>0.28649999999999998</c:v>
                </c:pt>
                <c:pt idx="14">
                  <c:v>0.68821646999999997</c:v>
                </c:pt>
                <c:pt idx="15">
                  <c:v>1.1709670400000001</c:v>
                </c:pt>
                <c:pt idx="16">
                  <c:v>14.641096000000001</c:v>
                </c:pt>
              </c:numCache>
            </c:numRef>
          </c:val>
          <c:smooth val="0"/>
          <c:extLst>
            <c:ext xmlns:c16="http://schemas.microsoft.com/office/drawing/2014/chart" uri="{C3380CC4-5D6E-409C-BE32-E72D297353CC}">
              <c16:uniqueId val="{00000006-BA55-41D6-8624-48EBEA57748F}"/>
            </c:ext>
          </c:extLst>
        </c:ser>
        <c:dLbls>
          <c:showLegendKey val="0"/>
          <c:showVal val="0"/>
          <c:showCatName val="0"/>
          <c:showSerName val="0"/>
          <c:showPercent val="0"/>
          <c:showBubbleSize val="0"/>
        </c:dLbls>
        <c:hiLowLines>
          <c:spPr>
            <a:ln w="25400" cap="flat" cmpd="sng" algn="ctr">
              <a:solidFill>
                <a:schemeClr val="tx1">
                  <a:lumMod val="65000"/>
                  <a:lumOff val="35000"/>
                </a:schemeClr>
              </a:solidFill>
              <a:round/>
            </a:ln>
            <a:effectLst/>
          </c:spPr>
        </c:hiLowLines>
        <c:axId val="638097768"/>
        <c:axId val="638095800"/>
      </c:stockChart>
      <c:catAx>
        <c:axId val="638097768"/>
        <c:scaling>
          <c:orientation val="minMax"/>
        </c:scaling>
        <c:delete val="0"/>
        <c:axPos val="b"/>
        <c:numFmt formatCode="General" sourceLinked="1"/>
        <c:majorTickMark val="none"/>
        <c:minorTickMark val="none"/>
        <c:tickLblPos val="low"/>
        <c:spPr>
          <a:noFill/>
          <a:ln w="9525" cap="flat" cmpd="sng" algn="ctr">
            <a:solidFill>
              <a:schemeClr val="tx1">
                <a:lumMod val="35000"/>
                <a:lumOff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de-DE"/>
          </a:p>
        </c:txPr>
        <c:crossAx val="638095800"/>
        <c:crosses val="autoZero"/>
        <c:auto val="1"/>
        <c:lblAlgn val="ctr"/>
        <c:lblOffset val="100"/>
        <c:noMultiLvlLbl val="0"/>
      </c:catAx>
      <c:valAx>
        <c:axId val="638095800"/>
        <c:scaling>
          <c:orientation val="minMax"/>
          <c:max val="1.2"/>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63809776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35000"/>
            <a:lumOff val="6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
  <cs:dataPoint3D>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28575">
        <a:solidFill>
          <a:schemeClr val="tx1">
            <a:lumMod val="65000"/>
            <a:lumOff val="35000"/>
          </a:schemeClr>
        </a:solidFill>
      </a:ln>
    </cs:spPr>
  </cs:downBar>
  <cs:dropLine>
    <cs:lnRef idx="0"/>
    <cs:fillRef idx="0"/>
    <cs:effectRef idx="0"/>
    <cs:fontRef idx="minor">
      <a:schemeClr val="dk1"/>
    </cs:fontRef>
    <cs:spPr>
      <a:ln w="9525">
        <a:solidFill>
          <a:schemeClr val="tx1">
            <a:lumMod val="50000"/>
            <a:lumOff val="50000"/>
          </a:schemeClr>
        </a:solidFill>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25400"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28575">
        <a:solidFill>
          <a:schemeClr val="tx1">
            <a:lumMod val="50000"/>
            <a:lumOff val="50000"/>
          </a:schemeClr>
        </a:solidFill>
      </a:ln>
    </cs:spPr>
  </cs:upBar>
  <cs:valueAxis>
    <cs:lnRef idx="0"/>
    <cs:fillRef idx="0"/>
    <cs:effectRef idx="0"/>
    <cs:fontRef idx="minor">
      <a:schemeClr val="tx1">
        <a:lumMod val="65000"/>
        <a:lumOff val="35000"/>
      </a:schemeClr>
    </cs:fontRef>
    <cs:defRPr sz="900" b="1"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35000"/>
            <a:lumOff val="6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
  <cs:dataPoint3D>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28575">
        <a:solidFill>
          <a:schemeClr val="tx1">
            <a:lumMod val="65000"/>
            <a:lumOff val="35000"/>
          </a:schemeClr>
        </a:solidFill>
      </a:ln>
    </cs:spPr>
  </cs:downBar>
  <cs:dropLine>
    <cs:lnRef idx="0"/>
    <cs:fillRef idx="0"/>
    <cs:effectRef idx="0"/>
    <cs:fontRef idx="minor">
      <a:schemeClr val="dk1"/>
    </cs:fontRef>
    <cs:spPr>
      <a:ln w="9525">
        <a:solidFill>
          <a:schemeClr val="tx1">
            <a:lumMod val="50000"/>
            <a:lumOff val="50000"/>
          </a:schemeClr>
        </a:solidFill>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25400"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28575">
        <a:solidFill>
          <a:schemeClr val="tx1">
            <a:lumMod val="50000"/>
            <a:lumOff val="50000"/>
          </a:schemeClr>
        </a:solidFill>
      </a:ln>
    </cs:spPr>
  </cs:upBar>
  <cs:valueAxis>
    <cs:lnRef idx="0"/>
    <cs:fillRef idx="0"/>
    <cs:effectRef idx="0"/>
    <cs:fontRef idx="minor">
      <a:schemeClr val="tx1">
        <a:lumMod val="65000"/>
        <a:lumOff val="35000"/>
      </a:schemeClr>
    </cs:fontRef>
    <cs:defRPr sz="900" b="1"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35000"/>
            <a:lumOff val="6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
  <cs:dataPoint3D>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28575">
        <a:solidFill>
          <a:schemeClr val="tx1">
            <a:lumMod val="65000"/>
            <a:lumOff val="35000"/>
          </a:schemeClr>
        </a:solidFill>
      </a:ln>
    </cs:spPr>
  </cs:downBar>
  <cs:dropLine>
    <cs:lnRef idx="0"/>
    <cs:fillRef idx="0"/>
    <cs:effectRef idx="0"/>
    <cs:fontRef idx="minor">
      <a:schemeClr val="dk1"/>
    </cs:fontRef>
    <cs:spPr>
      <a:ln w="9525">
        <a:solidFill>
          <a:schemeClr val="tx1">
            <a:lumMod val="50000"/>
            <a:lumOff val="50000"/>
          </a:schemeClr>
        </a:solidFill>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25400"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28575">
        <a:solidFill>
          <a:schemeClr val="tx1">
            <a:lumMod val="50000"/>
            <a:lumOff val="50000"/>
          </a:schemeClr>
        </a:solidFill>
      </a:ln>
    </cs:spPr>
  </cs:upBar>
  <cs:valueAxis>
    <cs:lnRef idx="0"/>
    <cs:fillRef idx="0"/>
    <cs:effectRef idx="0"/>
    <cs:fontRef idx="minor">
      <a:schemeClr val="tx1">
        <a:lumMod val="65000"/>
        <a:lumOff val="35000"/>
      </a:schemeClr>
    </cs:fontRef>
    <cs:defRPr sz="900" b="1"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3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35000"/>
            <a:lumOff val="6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
  <cs:dataPoint3D>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28575">
        <a:solidFill>
          <a:schemeClr val="tx1">
            <a:lumMod val="65000"/>
            <a:lumOff val="35000"/>
          </a:schemeClr>
        </a:solidFill>
      </a:ln>
    </cs:spPr>
  </cs:downBar>
  <cs:dropLine>
    <cs:lnRef idx="0"/>
    <cs:fillRef idx="0"/>
    <cs:effectRef idx="0"/>
    <cs:fontRef idx="minor">
      <a:schemeClr val="dk1"/>
    </cs:fontRef>
    <cs:spPr>
      <a:ln w="9525">
        <a:solidFill>
          <a:schemeClr val="tx1">
            <a:lumMod val="50000"/>
            <a:lumOff val="50000"/>
          </a:schemeClr>
        </a:solidFill>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25400"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28575">
        <a:solidFill>
          <a:schemeClr val="tx1">
            <a:lumMod val="50000"/>
            <a:lumOff val="50000"/>
          </a:schemeClr>
        </a:solidFill>
      </a:ln>
    </cs:spPr>
  </cs:upBar>
  <cs:valueAxis>
    <cs:lnRef idx="0"/>
    <cs:fillRef idx="0"/>
    <cs:effectRef idx="0"/>
    <cs:fontRef idx="minor">
      <a:schemeClr val="tx1">
        <a:lumMod val="65000"/>
        <a:lumOff val="35000"/>
      </a:schemeClr>
    </cs:fontRef>
    <cs:defRPr sz="900" b="1"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3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35000"/>
            <a:lumOff val="6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
  <cs:dataPoint3D>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28575">
        <a:solidFill>
          <a:schemeClr val="tx1">
            <a:lumMod val="65000"/>
            <a:lumOff val="35000"/>
          </a:schemeClr>
        </a:solidFill>
      </a:ln>
    </cs:spPr>
  </cs:downBar>
  <cs:dropLine>
    <cs:lnRef idx="0"/>
    <cs:fillRef idx="0"/>
    <cs:effectRef idx="0"/>
    <cs:fontRef idx="minor">
      <a:schemeClr val="dk1"/>
    </cs:fontRef>
    <cs:spPr>
      <a:ln w="9525">
        <a:solidFill>
          <a:schemeClr val="tx1">
            <a:lumMod val="50000"/>
            <a:lumOff val="50000"/>
          </a:schemeClr>
        </a:solidFill>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25400"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28575">
        <a:solidFill>
          <a:schemeClr val="tx1">
            <a:lumMod val="50000"/>
            <a:lumOff val="50000"/>
          </a:schemeClr>
        </a:solidFill>
      </a:ln>
    </cs:spPr>
  </cs:upBar>
  <cs:valueAxis>
    <cs:lnRef idx="0"/>
    <cs:fillRef idx="0"/>
    <cs:effectRef idx="0"/>
    <cs:fontRef idx="minor">
      <a:schemeClr val="tx1">
        <a:lumMod val="65000"/>
        <a:lumOff val="35000"/>
      </a:schemeClr>
    </cs:fontRef>
    <cs:defRPr sz="900" b="1"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3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35000"/>
            <a:lumOff val="6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
  <cs:dataPoint3D>
    <cs:lnRef idx="0">
      <cs:styleClr val="auto"/>
    </cs:lnRef>
    <cs:fillRef idx="0">
      <cs:styleClr val="auto"/>
    </cs:fillRef>
    <cs:effectRef idx="0">
      <cs:styleClr val="auto"/>
    </cs:effectRef>
    <cs:fontRef idx="minor">
      <a:schemeClr val="tx1"/>
    </cs:fontRef>
    <cs:spPr>
      <a:solidFill>
        <a:schemeClr val="phClr">
          <a:alpha val="10000"/>
        </a:schemeClr>
      </a:solidFill>
      <a:ln w="28575">
        <a:solidFill>
          <a:schemeClr val="phClr"/>
        </a:solidFill>
      </a:ln>
      <a:effectLst>
        <a:innerShdw blurRad="114300">
          <a:schemeClr val="phClr"/>
        </a:innerShdw>
      </a:effectLst>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28575">
        <a:solidFill>
          <a:schemeClr val="tx1">
            <a:lumMod val="65000"/>
            <a:lumOff val="35000"/>
          </a:schemeClr>
        </a:solidFill>
      </a:ln>
    </cs:spPr>
  </cs:downBar>
  <cs:dropLine>
    <cs:lnRef idx="0"/>
    <cs:fillRef idx="0"/>
    <cs:effectRef idx="0"/>
    <cs:fontRef idx="minor">
      <a:schemeClr val="dk1"/>
    </cs:fontRef>
    <cs:spPr>
      <a:ln w="9525">
        <a:solidFill>
          <a:schemeClr val="tx1">
            <a:lumMod val="50000"/>
            <a:lumOff val="50000"/>
          </a:schemeClr>
        </a:solidFill>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25400"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28575">
        <a:solidFill>
          <a:schemeClr val="tx1">
            <a:lumMod val="50000"/>
            <a:lumOff val="50000"/>
          </a:schemeClr>
        </a:solidFill>
      </a:ln>
    </cs:spPr>
  </cs:upBar>
  <cs:valueAxis>
    <cs:lnRef idx="0"/>
    <cs:fillRef idx="0"/>
    <cs:effectRef idx="0"/>
    <cs:fontRef idx="minor">
      <a:schemeClr val="tx1">
        <a:lumMod val="65000"/>
        <a:lumOff val="35000"/>
      </a:schemeClr>
    </cs:fontRef>
    <cs:defRPr sz="900" b="1"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1</xdr:row>
      <xdr:rowOff>12095</xdr:rowOff>
    </xdr:from>
    <xdr:to>
      <xdr:col>2</xdr:col>
      <xdr:colOff>265270</xdr:colOff>
      <xdr:row>3</xdr:row>
      <xdr:rowOff>74111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205619"/>
          <a:ext cx="2629889" cy="68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567971</xdr:colOff>
      <xdr:row>0</xdr:row>
      <xdr:rowOff>110772</xdr:rowOff>
    </xdr:from>
    <xdr:to>
      <xdr:col>38</xdr:col>
      <xdr:colOff>660400</xdr:colOff>
      <xdr:row>49</xdr:row>
      <xdr:rowOff>0</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0</xdr:colOff>
      <xdr:row>0</xdr:row>
      <xdr:rowOff>0</xdr:rowOff>
    </xdr:from>
    <xdr:to>
      <xdr:col>58</xdr:col>
      <xdr:colOff>92429</xdr:colOff>
      <xdr:row>49</xdr:row>
      <xdr:rowOff>0</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86783</xdr:colOff>
      <xdr:row>69</xdr:row>
      <xdr:rowOff>86782</xdr:rowOff>
    </xdr:from>
    <xdr:to>
      <xdr:col>7</xdr:col>
      <xdr:colOff>1299632</xdr:colOff>
      <xdr:row>112</xdr:row>
      <xdr:rowOff>84138</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0.81851</cdr:x>
      <cdr:y>0.94015</cdr:y>
    </cdr:from>
    <cdr:to>
      <cdr:x>0.98865</cdr:x>
      <cdr:y>0.97631</cdr:y>
    </cdr:to>
    <cdr:sp macro="" textlink="">
      <cdr:nvSpPr>
        <cdr:cNvPr id="2" name="Textfeld 1"/>
        <cdr:cNvSpPr txBox="1"/>
      </cdr:nvSpPr>
      <cdr:spPr>
        <a:xfrm xmlns:a="http://schemas.openxmlformats.org/drawingml/2006/main">
          <a:off x="9944580" y="7270907"/>
          <a:ext cx="2067145" cy="2796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unité</a:t>
          </a:r>
          <a:r>
            <a:rPr lang="de-CH" sz="1100" baseline="0"/>
            <a:t> de charge écologique</a:t>
          </a:r>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254000</xdr:colOff>
      <xdr:row>51</xdr:row>
      <xdr:rowOff>54502</xdr:rowOff>
    </xdr:from>
    <xdr:to>
      <xdr:col>15</xdr:col>
      <xdr:colOff>275167</xdr:colOff>
      <xdr:row>106</xdr:row>
      <xdr:rowOff>137582</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567971</xdr:colOff>
      <xdr:row>0</xdr:row>
      <xdr:rowOff>110772</xdr:rowOff>
    </xdr:from>
    <xdr:to>
      <xdr:col>37</xdr:col>
      <xdr:colOff>660400</xdr:colOff>
      <xdr:row>50</xdr:row>
      <xdr:rowOff>0</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0</xdr:colOff>
      <xdr:row>0</xdr:row>
      <xdr:rowOff>0</xdr:rowOff>
    </xdr:from>
    <xdr:to>
      <xdr:col>57</xdr:col>
      <xdr:colOff>92429</xdr:colOff>
      <xdr:row>49</xdr:row>
      <xdr:rowOff>79728</xdr:rowOff>
    </xdr:to>
    <xdr:graphicFrame macro="">
      <xdr:nvGraphicFramePr>
        <xdr:cNvPr id="8" name="Diagram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xdr:colOff>
      <xdr:row>2</xdr:row>
      <xdr:rowOff>0</xdr:rowOff>
    </xdr:from>
    <xdr:to>
      <xdr:col>31</xdr:col>
      <xdr:colOff>127001</xdr:colOff>
      <xdr:row>39</xdr:row>
      <xdr:rowOff>152400</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0</xdr:colOff>
      <xdr:row>2</xdr:row>
      <xdr:rowOff>0</xdr:rowOff>
    </xdr:from>
    <xdr:to>
      <xdr:col>44</xdr:col>
      <xdr:colOff>127000</xdr:colOff>
      <xdr:row>39</xdr:row>
      <xdr:rowOff>152400</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114300</xdr:colOff>
      <xdr:row>65</xdr:row>
      <xdr:rowOff>96034</xdr:rowOff>
    </xdr:from>
    <xdr:to>
      <xdr:col>7</xdr:col>
      <xdr:colOff>438472</xdr:colOff>
      <xdr:row>66</xdr:row>
      <xdr:rowOff>1473200</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6100" y="29534634"/>
          <a:ext cx="5638800" cy="1567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hyperlink" Target="https://www.bfs.admin.ch/bfs/fr/home/statistiques/developpement-durable/autres-indicateurs-developpement-durable/empreinte-ecologique.html" TargetMode="External"/><Relationship Id="rId1" Type="http://schemas.openxmlformats.org/officeDocument/2006/relationships/hyperlink" Target="https://www.bafu.admin.ch/bafu/fr/home/themes/economie-consommation/publications-etudes/publications/empreintes-environnementales-de-la-suis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8"/>
  <sheetViews>
    <sheetView topLeftCell="A18" zoomScale="80" zoomScaleNormal="80" workbookViewId="0">
      <selection activeCell="C27" sqref="C27"/>
    </sheetView>
  </sheetViews>
  <sheetFormatPr baseColWidth="10" defaultColWidth="10.81640625" defaultRowHeight="14"/>
  <cols>
    <col min="1" max="1" width="21.81640625" style="2" customWidth="1"/>
    <col min="2" max="16384" width="10.81640625" style="2"/>
  </cols>
  <sheetData>
    <row r="3" spans="1:6" ht="35">
      <c r="F3" s="3" t="s">
        <v>4</v>
      </c>
    </row>
    <row r="4" spans="1:6" ht="17.5">
      <c r="F4" s="4" t="s">
        <v>179</v>
      </c>
    </row>
    <row r="7" spans="1:6">
      <c r="A7" s="2" t="s">
        <v>5</v>
      </c>
      <c r="B7" s="2" t="s">
        <v>699</v>
      </c>
    </row>
    <row r="8" spans="1:6">
      <c r="A8" s="2" t="s">
        <v>16</v>
      </c>
      <c r="B8" s="6" t="s">
        <v>698</v>
      </c>
    </row>
    <row r="10" spans="1:6">
      <c r="A10" s="2" t="s">
        <v>6</v>
      </c>
      <c r="B10" s="2" t="s">
        <v>14</v>
      </c>
    </row>
    <row r="11" spans="1:6">
      <c r="B11" s="5" t="s">
        <v>8</v>
      </c>
    </row>
    <row r="12" spans="1:6">
      <c r="B12" s="5" t="s">
        <v>11</v>
      </c>
    </row>
    <row r="13" spans="1:6">
      <c r="B13" s="5"/>
    </row>
    <row r="14" spans="1:6">
      <c r="A14" s="2" t="s">
        <v>7</v>
      </c>
      <c r="B14" s="2" t="s">
        <v>15</v>
      </c>
    </row>
    <row r="15" spans="1:6">
      <c r="B15" s="2" t="s">
        <v>10</v>
      </c>
    </row>
    <row r="16" spans="1:6">
      <c r="B16" s="5" t="s">
        <v>12</v>
      </c>
    </row>
    <row r="17" spans="1:2">
      <c r="B17" s="5" t="s">
        <v>13</v>
      </c>
    </row>
    <row r="18" spans="1:2">
      <c r="B18" s="5" t="s">
        <v>9</v>
      </c>
    </row>
    <row r="20" spans="1:2">
      <c r="A20" s="2" t="s">
        <v>17</v>
      </c>
      <c r="B20" s="2" t="s">
        <v>159</v>
      </c>
    </row>
    <row r="22" spans="1:2">
      <c r="B22" s="2" t="s">
        <v>20</v>
      </c>
    </row>
    <row r="23" spans="1:2">
      <c r="B23" s="2" t="s">
        <v>244</v>
      </c>
    </row>
    <row r="24" spans="1:2">
      <c r="A24" s="228" t="s">
        <v>720</v>
      </c>
      <c r="B24" s="228" t="s">
        <v>22</v>
      </c>
    </row>
    <row r="26" spans="1:2">
      <c r="B26" s="2" t="s">
        <v>21</v>
      </c>
    </row>
    <row r="27" spans="1:2">
      <c r="B27" s="2" t="s">
        <v>33</v>
      </c>
    </row>
    <row r="29" spans="1:2">
      <c r="B29" s="2" t="s">
        <v>35</v>
      </c>
    </row>
    <row r="30" spans="1:2">
      <c r="A30" s="228" t="s">
        <v>719</v>
      </c>
      <c r="B30" s="228" t="s">
        <v>36</v>
      </c>
    </row>
    <row r="31" spans="1:2">
      <c r="A31" s="228" t="s">
        <v>720</v>
      </c>
      <c r="B31" s="228" t="s">
        <v>73</v>
      </c>
    </row>
    <row r="33" spans="2:2">
      <c r="B33" s="2" t="s">
        <v>361</v>
      </c>
    </row>
    <row r="34" spans="2:2">
      <c r="B34" s="2" t="s">
        <v>362</v>
      </c>
    </row>
    <row r="35" spans="2:2">
      <c r="B35" s="2" t="s">
        <v>376</v>
      </c>
    </row>
    <row r="36" spans="2:2">
      <c r="B36" s="2" t="s">
        <v>398</v>
      </c>
    </row>
    <row r="37" spans="2:2">
      <c r="B37" s="2" t="s">
        <v>405</v>
      </c>
    </row>
    <row r="38" spans="2:2">
      <c r="B38" s="2" t="s">
        <v>451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05"/>
  <sheetViews>
    <sheetView tabSelected="1" topLeftCell="A70" zoomScale="50" zoomScaleNormal="50" workbookViewId="0">
      <selection activeCell="U72" sqref="U72:AE80"/>
    </sheetView>
  </sheetViews>
  <sheetFormatPr baseColWidth="10" defaultColWidth="10.6328125" defaultRowHeight="14.5"/>
  <cols>
    <col min="1" max="1" width="10.6328125" style="51"/>
    <col min="2" max="2" width="12" style="51" customWidth="1"/>
    <col min="3" max="3" width="43.1796875" style="79" customWidth="1"/>
    <col min="4" max="4" width="22.81640625" style="189" customWidth="1"/>
    <col min="5" max="5" width="29.453125" style="51" customWidth="1"/>
    <col min="6" max="6" width="20.1796875" style="51" customWidth="1"/>
    <col min="7" max="7" width="18.36328125" style="71" customWidth="1"/>
    <col min="8" max="8" width="19.453125" style="71" customWidth="1"/>
    <col min="9" max="9" width="12" style="134" customWidth="1"/>
    <col min="10" max="12" width="8.54296875" style="134" customWidth="1"/>
    <col min="13" max="16" width="8.54296875" style="51" customWidth="1"/>
    <col min="17" max="17" width="6.453125" style="51" customWidth="1"/>
    <col min="18" max="20" width="8.54296875" style="51" customWidth="1"/>
    <col min="21" max="21" width="17.1796875" style="51" customWidth="1"/>
    <col min="22" max="22" width="20.453125" style="51" customWidth="1"/>
    <col min="23" max="23" width="32.453125" style="51" customWidth="1"/>
    <col min="24" max="16384" width="10.6328125" style="51"/>
  </cols>
  <sheetData>
    <row r="1" spans="1:20" ht="23.5">
      <c r="B1" s="56" t="s">
        <v>718</v>
      </c>
      <c r="C1" s="57"/>
      <c r="D1" s="185"/>
      <c r="E1" s="58"/>
      <c r="F1" s="58"/>
      <c r="G1" s="87"/>
      <c r="H1" s="87"/>
      <c r="I1" s="290" t="s">
        <v>60</v>
      </c>
      <c r="J1" s="291"/>
      <c r="K1" s="291" t="s">
        <v>611</v>
      </c>
      <c r="L1" s="292"/>
    </row>
    <row r="2" spans="1:20" s="64" customFormat="1">
      <c r="A2" s="60" t="s">
        <v>644</v>
      </c>
      <c r="B2" s="60" t="s">
        <v>0</v>
      </c>
      <c r="C2" s="61" t="s">
        <v>147</v>
      </c>
      <c r="D2" s="186" t="s">
        <v>202</v>
      </c>
      <c r="E2" s="62" t="s">
        <v>60</v>
      </c>
      <c r="F2" s="63" t="s">
        <v>611</v>
      </c>
      <c r="G2" s="62" t="s">
        <v>60</v>
      </c>
      <c r="H2" s="118" t="s">
        <v>611</v>
      </c>
      <c r="I2" s="121" t="s">
        <v>563</v>
      </c>
      <c r="J2" s="122" t="s">
        <v>564</v>
      </c>
      <c r="K2" s="122" t="s">
        <v>563</v>
      </c>
      <c r="L2" s="123" t="s">
        <v>564</v>
      </c>
      <c r="M2" s="64" t="s">
        <v>613</v>
      </c>
      <c r="N2" s="64" t="s">
        <v>614</v>
      </c>
      <c r="O2" s="64" t="s">
        <v>594</v>
      </c>
      <c r="R2" s="64" t="s">
        <v>595</v>
      </c>
      <c r="S2" s="64" t="s">
        <v>594</v>
      </c>
    </row>
    <row r="3" spans="1:20" s="71" customFormat="1">
      <c r="A3" s="71" t="s">
        <v>642</v>
      </c>
      <c r="B3" s="65" t="s">
        <v>439</v>
      </c>
      <c r="C3" s="66" t="s">
        <v>166</v>
      </c>
      <c r="D3" s="190" t="s">
        <v>216</v>
      </c>
      <c r="E3" s="112" t="s">
        <v>535</v>
      </c>
      <c r="F3" s="229" t="s">
        <v>491</v>
      </c>
      <c r="G3" s="69">
        <v>3.19302E-3</v>
      </c>
      <c r="H3" s="119">
        <v>4.5681808878244601</v>
      </c>
      <c r="I3" s="124">
        <v>1.59651E-3</v>
      </c>
      <c r="J3" s="125">
        <v>4.7895300000000002E-3</v>
      </c>
      <c r="K3" s="126">
        <v>2.28409044391223</v>
      </c>
      <c r="L3" s="127">
        <v>6.8522713317366897</v>
      </c>
      <c r="M3" s="160">
        <f t="shared" ref="M3:M18" si="0">L3-H3</f>
        <v>2.2840904439122296</v>
      </c>
      <c r="N3" s="160">
        <f t="shared" ref="N3:N18" si="1">H3-K3</f>
        <v>2.28409044391223</v>
      </c>
      <c r="O3" s="159">
        <f t="shared" ref="O3:O18" si="2">J3-G3</f>
        <v>1.5965100000000002E-3</v>
      </c>
      <c r="P3" s="159">
        <f t="shared" ref="P3:P18" si="3">G3-I3</f>
        <v>1.59651E-3</v>
      </c>
      <c r="R3" s="161">
        <f t="shared" ref="R3:R18" si="4">G3*1000</f>
        <v>3.1930200000000002</v>
      </c>
      <c r="S3" s="161">
        <f t="shared" ref="S3:S18" si="5">O3*1000</f>
        <v>1.5965100000000001</v>
      </c>
      <c r="T3" s="161">
        <f t="shared" ref="T3:T18" si="6">P3*1000</f>
        <v>1.5965100000000001</v>
      </c>
    </row>
    <row r="4" spans="1:20" s="71" customFormat="1">
      <c r="A4" s="71" t="s">
        <v>642</v>
      </c>
      <c r="B4" s="65" t="s">
        <v>439</v>
      </c>
      <c r="C4" s="66" t="s">
        <v>45</v>
      </c>
      <c r="D4" s="187" t="s">
        <v>200</v>
      </c>
      <c r="E4" s="112" t="s">
        <v>547</v>
      </c>
      <c r="F4" s="229" t="s">
        <v>474</v>
      </c>
      <c r="G4" s="69">
        <v>8.1682391000000003E-3</v>
      </c>
      <c r="H4" s="119">
        <v>10.499639063324402</v>
      </c>
      <c r="I4" s="124">
        <v>4.0841195500000002E-3</v>
      </c>
      <c r="J4" s="125">
        <v>1.6336478200000001E-2</v>
      </c>
      <c r="K4" s="126">
        <v>5.2498195316622009</v>
      </c>
      <c r="L4" s="127">
        <v>20.999278126648804</v>
      </c>
      <c r="M4" s="160">
        <f t="shared" si="0"/>
        <v>10.499639063324402</v>
      </c>
      <c r="N4" s="160">
        <f t="shared" si="1"/>
        <v>5.2498195316622009</v>
      </c>
      <c r="O4" s="159">
        <f t="shared" si="2"/>
        <v>8.1682391000000003E-3</v>
      </c>
      <c r="P4" s="159">
        <f t="shared" si="3"/>
        <v>4.0841195500000002E-3</v>
      </c>
      <c r="R4" s="161">
        <f t="shared" si="4"/>
        <v>8.168239100000001</v>
      </c>
      <c r="S4" s="161">
        <f t="shared" si="5"/>
        <v>8.168239100000001</v>
      </c>
      <c r="T4" s="161">
        <f t="shared" si="6"/>
        <v>4.0841195500000005</v>
      </c>
    </row>
    <row r="5" spans="1:20" s="71" customFormat="1">
      <c r="A5" s="71" t="s">
        <v>642</v>
      </c>
      <c r="B5" s="65" t="s">
        <v>439</v>
      </c>
      <c r="C5" s="66" t="s">
        <v>189</v>
      </c>
      <c r="D5" s="191" t="s">
        <v>199</v>
      </c>
      <c r="E5" s="112" t="s">
        <v>523</v>
      </c>
      <c r="F5" s="229" t="s">
        <v>480</v>
      </c>
      <c r="G5" s="69">
        <v>6.8896838E-3</v>
      </c>
      <c r="H5" s="119">
        <v>12.5922359177478</v>
      </c>
      <c r="I5" s="124">
        <v>4.8227786600000006E-3</v>
      </c>
      <c r="J5" s="125">
        <v>8.9565889399999994E-3</v>
      </c>
      <c r="K5" s="126">
        <v>8.8145651424234597</v>
      </c>
      <c r="L5" s="127">
        <v>16.369906693072139</v>
      </c>
      <c r="M5" s="160">
        <f t="shared" si="0"/>
        <v>3.7776707753243386</v>
      </c>
      <c r="N5" s="160">
        <f t="shared" si="1"/>
        <v>3.7776707753243404</v>
      </c>
      <c r="O5" s="159">
        <f t="shared" si="2"/>
        <v>2.0669051399999994E-3</v>
      </c>
      <c r="P5" s="159">
        <f t="shared" si="3"/>
        <v>2.0669051399999994E-3</v>
      </c>
      <c r="R5" s="161">
        <f t="shared" si="4"/>
        <v>6.8896838000000002</v>
      </c>
      <c r="S5" s="161">
        <f t="shared" si="5"/>
        <v>2.0669051399999994</v>
      </c>
      <c r="T5" s="161">
        <f t="shared" si="6"/>
        <v>2.0669051399999994</v>
      </c>
    </row>
    <row r="6" spans="1:20" s="71" customFormat="1">
      <c r="A6" s="71" t="s">
        <v>642</v>
      </c>
      <c r="B6" s="65" t="s">
        <v>439</v>
      </c>
      <c r="C6" s="66" t="s">
        <v>251</v>
      </c>
      <c r="D6" s="191" t="s">
        <v>199</v>
      </c>
      <c r="E6" s="112" t="s">
        <v>524</v>
      </c>
      <c r="F6" s="229" t="s">
        <v>475</v>
      </c>
      <c r="G6" s="69">
        <v>1.5912835E-2</v>
      </c>
      <c r="H6" s="119">
        <v>29.893633547256087</v>
      </c>
      <c r="I6" s="124">
        <v>1.1138984500000001E-2</v>
      </c>
      <c r="J6" s="125">
        <v>2.06866855E-2</v>
      </c>
      <c r="K6" s="126">
        <v>20.925543483079259</v>
      </c>
      <c r="L6" s="127">
        <v>38.861723611432915</v>
      </c>
      <c r="M6" s="160">
        <f t="shared" si="0"/>
        <v>8.9680900641768275</v>
      </c>
      <c r="N6" s="160">
        <f t="shared" si="1"/>
        <v>8.9680900641768275</v>
      </c>
      <c r="O6" s="159">
        <f t="shared" si="2"/>
        <v>4.7738504999999994E-3</v>
      </c>
      <c r="P6" s="159">
        <f t="shared" si="3"/>
        <v>4.7738504999999994E-3</v>
      </c>
      <c r="R6" s="161">
        <f t="shared" si="4"/>
        <v>15.912834999999999</v>
      </c>
      <c r="S6" s="161">
        <f t="shared" si="5"/>
        <v>4.7738504999999991</v>
      </c>
      <c r="T6" s="161">
        <f t="shared" si="6"/>
        <v>4.7738504999999991</v>
      </c>
    </row>
    <row r="7" spans="1:20" s="71" customFormat="1">
      <c r="A7" s="71" t="s">
        <v>642</v>
      </c>
      <c r="B7" s="65" t="s">
        <v>439</v>
      </c>
      <c r="C7" s="66" t="s">
        <v>163</v>
      </c>
      <c r="D7" s="190" t="s">
        <v>260</v>
      </c>
      <c r="E7" s="112" t="s">
        <v>537</v>
      </c>
      <c r="F7" s="229" t="s">
        <v>493</v>
      </c>
      <c r="G7" s="69">
        <v>3.7867954000000002E-2</v>
      </c>
      <c r="H7" s="119">
        <v>58.936062782308689</v>
      </c>
      <c r="I7" s="124">
        <v>1.8933977000000001E-2</v>
      </c>
      <c r="J7" s="125">
        <v>5.6801931E-2</v>
      </c>
      <c r="K7" s="126">
        <v>29.468031391154344</v>
      </c>
      <c r="L7" s="127">
        <v>88.404094173463037</v>
      </c>
      <c r="M7" s="160">
        <f t="shared" si="0"/>
        <v>29.468031391154348</v>
      </c>
      <c r="N7" s="160">
        <f t="shared" si="1"/>
        <v>29.468031391154344</v>
      </c>
      <c r="O7" s="159">
        <f t="shared" si="2"/>
        <v>1.8933976999999998E-2</v>
      </c>
      <c r="P7" s="159">
        <f t="shared" si="3"/>
        <v>1.8933977000000001E-2</v>
      </c>
      <c r="R7" s="161">
        <f t="shared" si="4"/>
        <v>37.867954000000005</v>
      </c>
      <c r="S7" s="161">
        <f t="shared" si="5"/>
        <v>18.933976999999999</v>
      </c>
      <c r="T7" s="161">
        <f t="shared" si="6"/>
        <v>18.933977000000002</v>
      </c>
    </row>
    <row r="8" spans="1:20" s="71" customFormat="1">
      <c r="A8" s="71" t="s">
        <v>642</v>
      </c>
      <c r="B8" s="65" t="s">
        <v>439</v>
      </c>
      <c r="C8" s="66" t="s">
        <v>344</v>
      </c>
      <c r="D8" s="190" t="s">
        <v>216</v>
      </c>
      <c r="E8" s="112" t="s">
        <v>536</v>
      </c>
      <c r="F8" s="229" t="s">
        <v>492</v>
      </c>
      <c r="G8" s="69">
        <v>4.7456012999999998E-2</v>
      </c>
      <c r="H8" s="119">
        <v>65.504203731589712</v>
      </c>
      <c r="I8" s="124">
        <v>2.3728006499999999E-2</v>
      </c>
      <c r="J8" s="125">
        <v>7.1184019500000001E-2</v>
      </c>
      <c r="K8" s="126">
        <v>32.752101865794856</v>
      </c>
      <c r="L8" s="127">
        <v>98.256305597384568</v>
      </c>
      <c r="M8" s="160">
        <f t="shared" si="0"/>
        <v>32.752101865794856</v>
      </c>
      <c r="N8" s="160">
        <f t="shared" si="1"/>
        <v>32.752101865794856</v>
      </c>
      <c r="O8" s="159">
        <f t="shared" si="2"/>
        <v>2.3728006500000003E-2</v>
      </c>
      <c r="P8" s="159">
        <f t="shared" si="3"/>
        <v>2.3728006499999999E-2</v>
      </c>
      <c r="R8" s="161">
        <f t="shared" si="4"/>
        <v>47.456012999999999</v>
      </c>
      <c r="S8" s="161">
        <f t="shared" si="5"/>
        <v>23.728006500000003</v>
      </c>
      <c r="T8" s="161">
        <f t="shared" si="6"/>
        <v>23.728006499999999</v>
      </c>
    </row>
    <row r="9" spans="1:20" s="71" customFormat="1">
      <c r="A9" s="71" t="s">
        <v>642</v>
      </c>
      <c r="B9" s="65" t="s">
        <v>439</v>
      </c>
      <c r="C9" s="66" t="s">
        <v>162</v>
      </c>
      <c r="D9" s="187" t="s">
        <v>309</v>
      </c>
      <c r="E9" s="112" t="s">
        <v>561</v>
      </c>
      <c r="F9" s="229" t="s">
        <v>518</v>
      </c>
      <c r="G9" s="69">
        <v>2.109</v>
      </c>
      <c r="H9" s="119">
        <v>2385.129922564201</v>
      </c>
      <c r="I9" s="124">
        <v>0.52725</v>
      </c>
      <c r="J9" s="125">
        <v>8.4359999999999999</v>
      </c>
      <c r="K9" s="126">
        <v>596.28248064105026</v>
      </c>
      <c r="L9" s="127">
        <v>9540.5196902568041</v>
      </c>
      <c r="M9" s="160">
        <f t="shared" si="0"/>
        <v>7155.3897676926026</v>
      </c>
      <c r="N9" s="160">
        <f t="shared" si="1"/>
        <v>1788.8474419231507</v>
      </c>
      <c r="O9" s="159">
        <f t="shared" si="2"/>
        <v>6.327</v>
      </c>
      <c r="P9" s="159">
        <f t="shared" si="3"/>
        <v>1.58175</v>
      </c>
      <c r="R9" s="161">
        <f t="shared" si="4"/>
        <v>2109</v>
      </c>
      <c r="S9" s="161">
        <f t="shared" si="5"/>
        <v>6327</v>
      </c>
      <c r="T9" s="161">
        <f t="shared" si="6"/>
        <v>1581.75</v>
      </c>
    </row>
    <row r="10" spans="1:20" s="71" customFormat="1">
      <c r="A10" s="71" t="s">
        <v>642</v>
      </c>
      <c r="B10" s="65" t="s">
        <v>439</v>
      </c>
      <c r="C10" s="66" t="s">
        <v>161</v>
      </c>
      <c r="D10" s="187" t="s">
        <v>309</v>
      </c>
      <c r="E10" s="112" t="s">
        <v>562</v>
      </c>
      <c r="F10" s="229" t="s">
        <v>517</v>
      </c>
      <c r="G10" s="69">
        <v>2.75</v>
      </c>
      <c r="H10" s="119">
        <v>3101.5891657669667</v>
      </c>
      <c r="I10" s="124">
        <v>0.6875</v>
      </c>
      <c r="J10" s="125">
        <v>11</v>
      </c>
      <c r="K10" s="126">
        <v>775.39729144174169</v>
      </c>
      <c r="L10" s="127">
        <v>12406.356663067867</v>
      </c>
      <c r="M10" s="160">
        <f t="shared" si="0"/>
        <v>9304.7674973008998</v>
      </c>
      <c r="N10" s="160">
        <f t="shared" si="1"/>
        <v>2326.1918743252249</v>
      </c>
      <c r="O10" s="159">
        <f t="shared" si="2"/>
        <v>8.25</v>
      </c>
      <c r="P10" s="159">
        <f t="shared" si="3"/>
        <v>2.0625</v>
      </c>
      <c r="R10" s="161">
        <f t="shared" si="4"/>
        <v>2750</v>
      </c>
      <c r="S10" s="161">
        <f t="shared" si="5"/>
        <v>8250</v>
      </c>
      <c r="T10" s="161">
        <f t="shared" si="6"/>
        <v>2062.5</v>
      </c>
    </row>
    <row r="11" spans="1:20" s="71" customFormat="1">
      <c r="A11" s="71" t="s">
        <v>642</v>
      </c>
      <c r="B11" s="65" t="s">
        <v>439</v>
      </c>
      <c r="C11" s="66" t="s">
        <v>46</v>
      </c>
      <c r="D11" s="187" t="s">
        <v>200</v>
      </c>
      <c r="E11" s="112" t="s">
        <v>548</v>
      </c>
      <c r="F11" s="229" t="s">
        <v>505</v>
      </c>
      <c r="G11" s="69">
        <v>5.6204077000000003</v>
      </c>
      <c r="H11" s="119">
        <v>7626.3133806981032</v>
      </c>
      <c r="I11" s="124">
        <v>2.8102038500000002</v>
      </c>
      <c r="J11" s="125">
        <v>11.240815400000001</v>
      </c>
      <c r="K11" s="126">
        <v>3813.1566903490516</v>
      </c>
      <c r="L11" s="127">
        <v>15252.626761396206</v>
      </c>
      <c r="M11" s="160">
        <f t="shared" si="0"/>
        <v>7626.3133806981032</v>
      </c>
      <c r="N11" s="160">
        <f t="shared" si="1"/>
        <v>3813.1566903490516</v>
      </c>
      <c r="O11" s="159">
        <f t="shared" si="2"/>
        <v>5.6204077000000003</v>
      </c>
      <c r="P11" s="159">
        <f t="shared" si="3"/>
        <v>2.8102038500000002</v>
      </c>
      <c r="R11" s="161">
        <f t="shared" si="4"/>
        <v>5620.4077000000007</v>
      </c>
      <c r="S11" s="161">
        <f t="shared" si="5"/>
        <v>5620.4077000000007</v>
      </c>
      <c r="T11" s="161">
        <f t="shared" si="6"/>
        <v>2810.2038500000003</v>
      </c>
    </row>
    <row r="12" spans="1:20" s="71" customFormat="1">
      <c r="A12" s="71" t="s">
        <v>642</v>
      </c>
      <c r="B12" s="65" t="s">
        <v>439</v>
      </c>
      <c r="C12" s="66" t="s">
        <v>54</v>
      </c>
      <c r="D12" s="187" t="s">
        <v>200</v>
      </c>
      <c r="E12" s="112" t="s">
        <v>548</v>
      </c>
      <c r="F12" s="229" t="s">
        <v>505</v>
      </c>
      <c r="G12" s="69">
        <v>5.6809501999999998</v>
      </c>
      <c r="H12" s="119">
        <v>7694.5904610586485</v>
      </c>
      <c r="I12" s="124">
        <v>2.8404750999999999</v>
      </c>
      <c r="J12" s="125">
        <v>11.3619004</v>
      </c>
      <c r="K12" s="126">
        <v>3847.2952305293243</v>
      </c>
      <c r="L12" s="127">
        <v>15389.180922117297</v>
      </c>
      <c r="M12" s="160">
        <f t="shared" si="0"/>
        <v>7694.5904610586485</v>
      </c>
      <c r="N12" s="160">
        <f t="shared" si="1"/>
        <v>3847.2952305293243</v>
      </c>
      <c r="O12" s="159">
        <f t="shared" si="2"/>
        <v>5.6809501999999998</v>
      </c>
      <c r="P12" s="159">
        <f t="shared" si="3"/>
        <v>2.8404750999999999</v>
      </c>
      <c r="R12" s="161">
        <f t="shared" si="4"/>
        <v>5680.9502000000002</v>
      </c>
      <c r="S12" s="161">
        <f t="shared" si="5"/>
        <v>5680.9502000000002</v>
      </c>
      <c r="T12" s="161">
        <f t="shared" si="6"/>
        <v>2840.4751000000001</v>
      </c>
    </row>
    <row r="13" spans="1:20" s="71" customFormat="1">
      <c r="A13" s="71" t="s">
        <v>642</v>
      </c>
      <c r="B13" s="65" t="s">
        <v>437</v>
      </c>
      <c r="C13" s="66" t="s">
        <v>171</v>
      </c>
      <c r="D13" s="191" t="s">
        <v>199</v>
      </c>
      <c r="E13" s="112" t="s">
        <v>526</v>
      </c>
      <c r="F13" s="229" t="s">
        <v>481</v>
      </c>
      <c r="G13" s="69">
        <v>1.2074647999999999E-3</v>
      </c>
      <c r="H13" s="119">
        <v>1.2354844729472301</v>
      </c>
      <c r="I13" s="124">
        <v>8.4522535999999998E-4</v>
      </c>
      <c r="J13" s="125">
        <v>1.5697042399999998E-3</v>
      </c>
      <c r="K13" s="128">
        <v>0.86483913106306098</v>
      </c>
      <c r="L13" s="129">
        <v>1.6061298148313992</v>
      </c>
      <c r="M13" s="160">
        <f t="shared" si="0"/>
        <v>0.37064534188416909</v>
      </c>
      <c r="N13" s="160">
        <f t="shared" si="1"/>
        <v>0.37064534188416909</v>
      </c>
      <c r="O13" s="159">
        <f t="shared" si="2"/>
        <v>3.6223943999999985E-4</v>
      </c>
      <c r="P13" s="159">
        <f t="shared" si="3"/>
        <v>3.6223943999999996E-4</v>
      </c>
      <c r="R13" s="161">
        <f t="shared" si="4"/>
        <v>1.2074647999999999</v>
      </c>
      <c r="S13" s="161">
        <f t="shared" si="5"/>
        <v>0.36223943999999986</v>
      </c>
      <c r="T13" s="161">
        <f t="shared" si="6"/>
        <v>0.36223943999999997</v>
      </c>
    </row>
    <row r="14" spans="1:20" s="71" customFormat="1">
      <c r="A14" s="71" t="s">
        <v>642</v>
      </c>
      <c r="B14" s="89" t="s">
        <v>437</v>
      </c>
      <c r="C14" s="84" t="s">
        <v>111</v>
      </c>
      <c r="D14" s="196" t="s">
        <v>266</v>
      </c>
      <c r="E14" s="114" t="s">
        <v>520</v>
      </c>
      <c r="F14" s="230" t="s">
        <v>478</v>
      </c>
      <c r="G14" s="69">
        <v>8.6937461999999997E-3</v>
      </c>
      <c r="H14" s="119">
        <v>8.8954881776451415</v>
      </c>
      <c r="I14" s="124">
        <v>7.8243715799999995E-3</v>
      </c>
      <c r="J14" s="125">
        <v>9.5631208199999998E-3</v>
      </c>
      <c r="K14" s="126">
        <v>8.0059393598806281</v>
      </c>
      <c r="L14" s="127">
        <v>9.785036995409655</v>
      </c>
      <c r="M14" s="160">
        <f t="shared" si="0"/>
        <v>0.88954881776451344</v>
      </c>
      <c r="N14" s="160">
        <f t="shared" si="1"/>
        <v>0.88954881776451344</v>
      </c>
      <c r="O14" s="159">
        <f t="shared" si="2"/>
        <v>8.6937462000000014E-4</v>
      </c>
      <c r="P14" s="159">
        <f t="shared" si="3"/>
        <v>8.6937462000000014E-4</v>
      </c>
      <c r="R14" s="161">
        <f t="shared" si="4"/>
        <v>8.6937461999999996</v>
      </c>
      <c r="S14" s="161">
        <f t="shared" si="5"/>
        <v>0.8693746200000001</v>
      </c>
      <c r="T14" s="161">
        <f t="shared" si="6"/>
        <v>0.8693746200000001</v>
      </c>
    </row>
    <row r="15" spans="1:20" s="71" customFormat="1">
      <c r="A15" s="71" t="s">
        <v>642</v>
      </c>
      <c r="B15" s="65" t="s">
        <v>437</v>
      </c>
      <c r="C15" s="66" t="s">
        <v>170</v>
      </c>
      <c r="D15" s="187" t="s">
        <v>200</v>
      </c>
      <c r="E15" s="112" t="s">
        <v>550</v>
      </c>
      <c r="F15" s="229" t="s">
        <v>507</v>
      </c>
      <c r="G15" s="69">
        <v>2.3422274999999999E-2</v>
      </c>
      <c r="H15" s="119">
        <v>23.447429895265422</v>
      </c>
      <c r="I15" s="124">
        <v>1.17111375E-2</v>
      </c>
      <c r="J15" s="125">
        <v>4.6844549999999999E-2</v>
      </c>
      <c r="K15" s="126">
        <v>11.723714947632711</v>
      </c>
      <c r="L15" s="127">
        <v>46.894859790530845</v>
      </c>
      <c r="M15" s="160">
        <f t="shared" si="0"/>
        <v>23.447429895265422</v>
      </c>
      <c r="N15" s="160">
        <f t="shared" si="1"/>
        <v>11.723714947632711</v>
      </c>
      <c r="O15" s="159">
        <f t="shared" si="2"/>
        <v>2.3422274999999999E-2</v>
      </c>
      <c r="P15" s="159">
        <f t="shared" si="3"/>
        <v>1.17111375E-2</v>
      </c>
      <c r="R15" s="161">
        <f t="shared" si="4"/>
        <v>23.422274999999999</v>
      </c>
      <c r="S15" s="161">
        <f t="shared" si="5"/>
        <v>23.422274999999999</v>
      </c>
      <c r="T15" s="161">
        <f t="shared" si="6"/>
        <v>11.7111375</v>
      </c>
    </row>
    <row r="16" spans="1:20" s="71" customFormat="1">
      <c r="A16" s="71" t="s">
        <v>642</v>
      </c>
      <c r="B16" s="65" t="s">
        <v>437</v>
      </c>
      <c r="C16" s="66" t="s">
        <v>192</v>
      </c>
      <c r="D16" s="187" t="s">
        <v>200</v>
      </c>
      <c r="E16" s="112" t="s">
        <v>549</v>
      </c>
      <c r="F16" s="229" t="s">
        <v>506</v>
      </c>
      <c r="G16" s="69">
        <v>8.7977629000000002E-2</v>
      </c>
      <c r="H16" s="119">
        <v>88.23941135717611</v>
      </c>
      <c r="I16" s="124">
        <v>4.3988814500000001E-2</v>
      </c>
      <c r="J16" s="125">
        <v>0.175955258</v>
      </c>
      <c r="K16" s="126">
        <v>44.119705678588055</v>
      </c>
      <c r="L16" s="127">
        <v>176.47882271435222</v>
      </c>
      <c r="M16" s="160">
        <f t="shared" si="0"/>
        <v>88.23941135717611</v>
      </c>
      <c r="N16" s="160">
        <f t="shared" si="1"/>
        <v>44.119705678588055</v>
      </c>
      <c r="O16" s="159">
        <f t="shared" si="2"/>
        <v>8.7977629000000002E-2</v>
      </c>
      <c r="P16" s="159">
        <f t="shared" si="3"/>
        <v>4.3988814500000001E-2</v>
      </c>
      <c r="R16" s="161">
        <f t="shared" si="4"/>
        <v>87.977629000000007</v>
      </c>
      <c r="S16" s="161">
        <f t="shared" si="5"/>
        <v>87.977629000000007</v>
      </c>
      <c r="T16" s="161">
        <f t="shared" si="6"/>
        <v>43.988814500000004</v>
      </c>
    </row>
    <row r="17" spans="1:20" s="71" customFormat="1">
      <c r="A17" s="71" t="s">
        <v>642</v>
      </c>
      <c r="B17" s="65" t="s">
        <v>437</v>
      </c>
      <c r="C17" s="66" t="s">
        <v>187</v>
      </c>
      <c r="D17" s="191" t="s">
        <v>199</v>
      </c>
      <c r="E17" s="112" t="s">
        <v>525</v>
      </c>
      <c r="F17" s="229" t="s">
        <v>487</v>
      </c>
      <c r="G17" s="69">
        <v>5.8967672999999998E-2</v>
      </c>
      <c r="H17" s="119">
        <v>88.318696496570112</v>
      </c>
      <c r="I17" s="124">
        <v>4.1277371100000002E-2</v>
      </c>
      <c r="J17" s="125">
        <v>7.6657974899999995E-2</v>
      </c>
      <c r="K17" s="126">
        <v>61.82308754759908</v>
      </c>
      <c r="L17" s="127">
        <v>114.81430544554115</v>
      </c>
      <c r="M17" s="160">
        <f t="shared" si="0"/>
        <v>26.495608948971039</v>
      </c>
      <c r="N17" s="160">
        <f t="shared" si="1"/>
        <v>26.495608948971032</v>
      </c>
      <c r="O17" s="159">
        <f t="shared" si="2"/>
        <v>1.7690301899999997E-2</v>
      </c>
      <c r="P17" s="159">
        <f t="shared" si="3"/>
        <v>1.7690301899999997E-2</v>
      </c>
      <c r="R17" s="161">
        <f t="shared" si="4"/>
        <v>58.967672999999998</v>
      </c>
      <c r="S17" s="161">
        <f t="shared" si="5"/>
        <v>17.690301899999998</v>
      </c>
      <c r="T17" s="161">
        <f t="shared" si="6"/>
        <v>17.690301899999998</v>
      </c>
    </row>
    <row r="18" spans="1:20" s="71" customFormat="1">
      <c r="A18" s="71" t="s">
        <v>642</v>
      </c>
      <c r="B18" s="65" t="s">
        <v>437</v>
      </c>
      <c r="C18" s="66" t="s">
        <v>252</v>
      </c>
      <c r="D18" s="187" t="s">
        <v>217</v>
      </c>
      <c r="E18" s="112" t="s">
        <v>533</v>
      </c>
      <c r="F18" s="229" t="s">
        <v>485</v>
      </c>
      <c r="G18" s="69">
        <v>8.2431844000000004E-2</v>
      </c>
      <c r="H18" s="119">
        <v>115.08819806215908</v>
      </c>
      <c r="I18" s="124">
        <v>4.9459106400000001E-2</v>
      </c>
      <c r="J18" s="125">
        <v>0.1154045816</v>
      </c>
      <c r="K18" s="126">
        <v>69.052918837295437</v>
      </c>
      <c r="L18" s="127">
        <v>161.12347728702272</v>
      </c>
      <c r="M18" s="160">
        <f t="shared" si="0"/>
        <v>46.035279224863643</v>
      </c>
      <c r="N18" s="160">
        <f t="shared" si="1"/>
        <v>46.035279224863643</v>
      </c>
      <c r="O18" s="159">
        <f t="shared" si="2"/>
        <v>3.2972737599999996E-2</v>
      </c>
      <c r="P18" s="159">
        <f t="shared" si="3"/>
        <v>3.2972737600000003E-2</v>
      </c>
      <c r="R18" s="161">
        <f t="shared" si="4"/>
        <v>82.431843999999998</v>
      </c>
      <c r="S18" s="161">
        <f t="shared" si="5"/>
        <v>32.972737599999995</v>
      </c>
      <c r="T18" s="161">
        <f t="shared" si="6"/>
        <v>32.972737600000002</v>
      </c>
    </row>
    <row r="19" spans="1:20" s="244" customFormat="1">
      <c r="A19" s="233" t="s">
        <v>643</v>
      </c>
      <c r="B19" s="234" t="s">
        <v>437</v>
      </c>
      <c r="C19" s="235" t="s">
        <v>399</v>
      </c>
      <c r="D19" s="236">
        <v>2</v>
      </c>
      <c r="E19" s="237" t="s">
        <v>570</v>
      </c>
      <c r="F19" s="238" t="s">
        <v>583</v>
      </c>
      <c r="G19" s="239">
        <v>2.3910058E-4</v>
      </c>
      <c r="H19" s="240">
        <v>0.33099667958134404</v>
      </c>
      <c r="I19" s="241"/>
      <c r="J19" s="242"/>
      <c r="K19" s="242"/>
      <c r="L19" s="243"/>
    </row>
    <row r="20" spans="1:20" s="244" customFormat="1">
      <c r="A20" s="233" t="s">
        <v>643</v>
      </c>
      <c r="B20" s="234" t="s">
        <v>437</v>
      </c>
      <c r="C20" s="235" t="s">
        <v>387</v>
      </c>
      <c r="D20" s="236">
        <v>2</v>
      </c>
      <c r="E20" s="237" t="s">
        <v>569</v>
      </c>
      <c r="F20" s="238" t="s">
        <v>582</v>
      </c>
      <c r="G20" s="245">
        <v>9.2205654000000001E-3</v>
      </c>
      <c r="H20" s="246">
        <v>11.977133861136949</v>
      </c>
      <c r="I20" s="241"/>
      <c r="J20" s="242"/>
      <c r="K20" s="242"/>
      <c r="L20" s="243"/>
    </row>
    <row r="21" spans="1:20" s="244" customFormat="1">
      <c r="A21" s="233" t="s">
        <v>643</v>
      </c>
      <c r="B21" s="234" t="s">
        <v>437</v>
      </c>
      <c r="C21" s="235" t="s">
        <v>389</v>
      </c>
      <c r="D21" s="236">
        <v>2</v>
      </c>
      <c r="E21" s="237" t="s">
        <v>568</v>
      </c>
      <c r="F21" s="238" t="s">
        <v>581</v>
      </c>
      <c r="G21" s="245">
        <v>1.3372922000000001E-2</v>
      </c>
      <c r="H21" s="246">
        <v>13.465215331960669</v>
      </c>
      <c r="I21" s="241"/>
      <c r="J21" s="242"/>
      <c r="K21" s="242"/>
      <c r="L21" s="243"/>
    </row>
    <row r="22" spans="1:20" s="244" customFormat="1">
      <c r="A22" s="233" t="s">
        <v>643</v>
      </c>
      <c r="B22" s="234" t="s">
        <v>437</v>
      </c>
      <c r="C22" s="235" t="s">
        <v>388</v>
      </c>
      <c r="D22" s="247">
        <v>0.5</v>
      </c>
      <c r="E22" s="237" t="s">
        <v>565</v>
      </c>
      <c r="F22" s="238" t="s">
        <v>578</v>
      </c>
      <c r="G22" s="245">
        <v>1.1167678E-2</v>
      </c>
      <c r="H22" s="246">
        <v>13.93633574224204</v>
      </c>
      <c r="I22" s="241"/>
      <c r="J22" s="242"/>
      <c r="K22" s="242"/>
      <c r="L22" s="243"/>
    </row>
    <row r="23" spans="1:20" s="244" customFormat="1">
      <c r="A23" s="233" t="s">
        <v>643</v>
      </c>
      <c r="B23" s="234" t="s">
        <v>437</v>
      </c>
      <c r="C23" s="235" t="s">
        <v>447</v>
      </c>
      <c r="D23" s="236">
        <v>2</v>
      </c>
      <c r="E23" s="237" t="s">
        <v>571</v>
      </c>
      <c r="F23" s="238" t="s">
        <v>584</v>
      </c>
      <c r="G23" s="245">
        <v>1.2499263E-2</v>
      </c>
      <c r="H23" s="246">
        <v>15.2718451462299</v>
      </c>
      <c r="I23" s="241"/>
      <c r="J23" s="242"/>
      <c r="K23" s="242"/>
      <c r="L23" s="243"/>
    </row>
    <row r="24" spans="1:20" s="244" customFormat="1">
      <c r="A24" s="233" t="s">
        <v>643</v>
      </c>
      <c r="B24" s="234" t="s">
        <v>437</v>
      </c>
      <c r="C24" s="235" t="s">
        <v>168</v>
      </c>
      <c r="D24" s="236">
        <v>4</v>
      </c>
      <c r="E24" s="237" t="s">
        <v>575</v>
      </c>
      <c r="F24" s="238" t="s">
        <v>588</v>
      </c>
      <c r="G24" s="245">
        <v>2.9473590000000001E-2</v>
      </c>
      <c r="H24" s="246">
        <v>29.744354649810532</v>
      </c>
      <c r="I24" s="241"/>
      <c r="J24" s="242"/>
      <c r="K24" s="242"/>
      <c r="L24" s="243"/>
    </row>
    <row r="25" spans="1:20" s="244" customFormat="1">
      <c r="A25" s="233" t="s">
        <v>643</v>
      </c>
      <c r="B25" s="234" t="s">
        <v>437</v>
      </c>
      <c r="C25" s="235" t="s">
        <v>169</v>
      </c>
      <c r="D25" s="236">
        <v>4</v>
      </c>
      <c r="E25" s="237" t="s">
        <v>576</v>
      </c>
      <c r="F25" s="238" t="s">
        <v>589</v>
      </c>
      <c r="G25" s="245">
        <v>5.3944858999999998E-2</v>
      </c>
      <c r="H25" s="246">
        <v>63.609473438008408</v>
      </c>
      <c r="I25" s="241"/>
      <c r="J25" s="242"/>
      <c r="K25" s="242"/>
      <c r="L25" s="243"/>
    </row>
    <row r="26" spans="1:20" s="244" customFormat="1">
      <c r="A26" s="233" t="s">
        <v>643</v>
      </c>
      <c r="B26" s="234" t="s">
        <v>437</v>
      </c>
      <c r="C26" s="235" t="s">
        <v>167</v>
      </c>
      <c r="D26" s="236">
        <v>4</v>
      </c>
      <c r="E26" s="237" t="s">
        <v>574</v>
      </c>
      <c r="F26" s="238" t="s">
        <v>587</v>
      </c>
      <c r="G26" s="245">
        <v>0.29274176000000002</v>
      </c>
      <c r="H26" s="246">
        <v>292.97211279539545</v>
      </c>
      <c r="I26" s="241"/>
      <c r="J26" s="242"/>
      <c r="K26" s="242"/>
      <c r="L26" s="243"/>
    </row>
    <row r="27" spans="1:20" s="86" customFormat="1">
      <c r="A27" s="71" t="s">
        <v>642</v>
      </c>
      <c r="B27" s="65" t="s">
        <v>1</v>
      </c>
      <c r="C27" s="66" t="s">
        <v>18</v>
      </c>
      <c r="D27" s="191" t="s">
        <v>201</v>
      </c>
      <c r="E27" s="112" t="s">
        <v>521</v>
      </c>
      <c r="F27" s="229" t="s">
        <v>486</v>
      </c>
      <c r="G27" s="69">
        <v>6.4807813000000006E-2</v>
      </c>
      <c r="H27" s="119">
        <v>67.467957083767303</v>
      </c>
      <c r="I27" s="124">
        <v>5.1846250400000002E-2</v>
      </c>
      <c r="J27" s="125">
        <v>7.776937560000001E-2</v>
      </c>
      <c r="K27" s="126">
        <v>53.974365667013842</v>
      </c>
      <c r="L27" s="127">
        <v>80.961548500520763</v>
      </c>
      <c r="M27" s="160">
        <f t="shared" ref="M27:M40" si="7">L27-H27</f>
        <v>13.493591416753461</v>
      </c>
      <c r="N27" s="160">
        <f t="shared" ref="N27:N40" si="8">H27-K27</f>
        <v>13.493591416753461</v>
      </c>
      <c r="O27" s="159">
        <f t="shared" ref="O27:O40" si="9">J27-G27</f>
        <v>1.2961562600000004E-2</v>
      </c>
      <c r="P27" s="159">
        <f t="shared" ref="P27:P40" si="10">G27-I27</f>
        <v>1.2961562600000004E-2</v>
      </c>
      <c r="Q27" s="71"/>
      <c r="R27" s="161">
        <f t="shared" ref="R27:R40" si="11">G27*1000</f>
        <v>64.80781300000001</v>
      </c>
      <c r="S27" s="161">
        <f t="shared" ref="S27:S40" si="12">O27*1000</f>
        <v>12.961562600000004</v>
      </c>
      <c r="T27" s="161">
        <f t="shared" ref="T27:T40" si="13">P27*1000</f>
        <v>12.961562600000004</v>
      </c>
    </row>
    <row r="28" spans="1:20" s="86" customFormat="1">
      <c r="A28" s="71" t="s">
        <v>642</v>
      </c>
      <c r="B28" s="65" t="s">
        <v>1</v>
      </c>
      <c r="C28" s="66" t="s">
        <v>3</v>
      </c>
      <c r="D28" s="191" t="s">
        <v>199</v>
      </c>
      <c r="E28" s="112" t="s">
        <v>527</v>
      </c>
      <c r="F28" s="229" t="s">
        <v>488</v>
      </c>
      <c r="G28" s="69">
        <v>0.12650078000000001</v>
      </c>
      <c r="H28" s="119">
        <v>395.68398394124301</v>
      </c>
      <c r="I28" s="124">
        <v>8.8550546000000008E-2</v>
      </c>
      <c r="J28" s="125">
        <v>0.16445101400000001</v>
      </c>
      <c r="K28" s="126">
        <v>276.97878875887011</v>
      </c>
      <c r="L28" s="127">
        <v>514.38917912361592</v>
      </c>
      <c r="M28" s="160">
        <f t="shared" si="7"/>
        <v>118.7051951823729</v>
      </c>
      <c r="N28" s="160">
        <f t="shared" si="8"/>
        <v>118.7051951823729</v>
      </c>
      <c r="O28" s="159">
        <f t="shared" si="9"/>
        <v>3.7950233999999999E-2</v>
      </c>
      <c r="P28" s="159">
        <f t="shared" si="10"/>
        <v>3.7950233999999999E-2</v>
      </c>
      <c r="Q28" s="71"/>
      <c r="R28" s="161">
        <f t="shared" si="11"/>
        <v>126.50078000000001</v>
      </c>
      <c r="S28" s="161">
        <f t="shared" si="12"/>
        <v>37.950234000000002</v>
      </c>
      <c r="T28" s="161">
        <f t="shared" si="13"/>
        <v>37.950234000000002</v>
      </c>
    </row>
    <row r="29" spans="1:20" s="86" customFormat="1">
      <c r="A29" s="71" t="s">
        <v>642</v>
      </c>
      <c r="B29" s="65" t="s">
        <v>1</v>
      </c>
      <c r="C29" s="66" t="s">
        <v>59</v>
      </c>
      <c r="D29" s="187" t="s">
        <v>200</v>
      </c>
      <c r="E29" s="112" t="s">
        <v>551</v>
      </c>
      <c r="F29" s="229" t="s">
        <v>508</v>
      </c>
      <c r="G29" s="69">
        <v>0.25401742999999999</v>
      </c>
      <c r="H29" s="119">
        <v>980.50611467598947</v>
      </c>
      <c r="I29" s="124">
        <v>0.12700871499999999</v>
      </c>
      <c r="J29" s="125">
        <v>0.50803485999999998</v>
      </c>
      <c r="K29" s="126">
        <v>490.25305733799473</v>
      </c>
      <c r="L29" s="127">
        <v>1961.0122293519789</v>
      </c>
      <c r="M29" s="160">
        <f t="shared" si="7"/>
        <v>980.50611467598947</v>
      </c>
      <c r="N29" s="160">
        <f t="shared" si="8"/>
        <v>490.25305733799473</v>
      </c>
      <c r="O29" s="159">
        <f t="shared" si="9"/>
        <v>0.25401742999999999</v>
      </c>
      <c r="P29" s="159">
        <f t="shared" si="10"/>
        <v>0.12700871499999999</v>
      </c>
      <c r="Q29" s="71"/>
      <c r="R29" s="161">
        <f t="shared" si="11"/>
        <v>254.01742999999999</v>
      </c>
      <c r="S29" s="161">
        <f t="shared" si="12"/>
        <v>254.01742999999999</v>
      </c>
      <c r="T29" s="161">
        <f t="shared" si="13"/>
        <v>127.008715</v>
      </c>
    </row>
    <row r="30" spans="1:20" s="71" customFormat="1">
      <c r="A30" s="71" t="s">
        <v>642</v>
      </c>
      <c r="B30" s="65" t="s">
        <v>1</v>
      </c>
      <c r="C30" s="66" t="s">
        <v>23</v>
      </c>
      <c r="D30" s="190" t="s">
        <v>371</v>
      </c>
      <c r="E30" s="112" t="s">
        <v>477</v>
      </c>
      <c r="F30" s="229" t="s">
        <v>496</v>
      </c>
      <c r="G30" s="69">
        <v>10.735939</v>
      </c>
      <c r="H30" s="119">
        <v>21772.270294396087</v>
      </c>
      <c r="I30" s="124">
        <v>5.3679695000000001</v>
      </c>
      <c r="J30" s="125">
        <v>16.103908499999999</v>
      </c>
      <c r="K30" s="126">
        <v>10886.135147198043</v>
      </c>
      <c r="L30" s="127">
        <v>32658.405441594128</v>
      </c>
      <c r="M30" s="160">
        <f t="shared" si="7"/>
        <v>10886.135147198042</v>
      </c>
      <c r="N30" s="160">
        <f t="shared" si="8"/>
        <v>10886.135147198043</v>
      </c>
      <c r="O30" s="159">
        <f t="shared" si="9"/>
        <v>5.3679694999999992</v>
      </c>
      <c r="P30" s="159">
        <f t="shared" si="10"/>
        <v>5.3679695000000001</v>
      </c>
      <c r="R30" s="161">
        <f t="shared" si="11"/>
        <v>10735.939</v>
      </c>
      <c r="S30" s="161">
        <f t="shared" si="12"/>
        <v>5367.9694999999992</v>
      </c>
      <c r="T30" s="161">
        <f t="shared" si="13"/>
        <v>5367.9695000000002</v>
      </c>
    </row>
    <row r="31" spans="1:20" s="71" customFormat="1">
      <c r="A31" s="71" t="s">
        <v>642</v>
      </c>
      <c r="B31" s="65" t="s">
        <v>1</v>
      </c>
      <c r="C31" s="66" t="s">
        <v>25</v>
      </c>
      <c r="D31" s="190" t="s">
        <v>216</v>
      </c>
      <c r="E31" s="112" t="s">
        <v>538</v>
      </c>
      <c r="F31" s="229" t="s">
        <v>494</v>
      </c>
      <c r="G31" s="69">
        <v>11.481553</v>
      </c>
      <c r="H31" s="119">
        <v>22788.237501757012</v>
      </c>
      <c r="I31" s="124">
        <v>5.7407764999999999</v>
      </c>
      <c r="J31" s="125">
        <v>17.222329500000001</v>
      </c>
      <c r="K31" s="126">
        <v>11394.118750878506</v>
      </c>
      <c r="L31" s="127">
        <v>34182.356252635516</v>
      </c>
      <c r="M31" s="160">
        <f t="shared" si="7"/>
        <v>11394.118750878504</v>
      </c>
      <c r="N31" s="160">
        <f t="shared" si="8"/>
        <v>11394.118750878506</v>
      </c>
      <c r="O31" s="159">
        <f t="shared" si="9"/>
        <v>5.7407765000000008</v>
      </c>
      <c r="P31" s="159">
        <f t="shared" si="10"/>
        <v>5.7407764999999999</v>
      </c>
      <c r="R31" s="161">
        <f t="shared" si="11"/>
        <v>11481.553</v>
      </c>
      <c r="S31" s="161">
        <f t="shared" si="12"/>
        <v>5740.7765000000009</v>
      </c>
      <c r="T31" s="161">
        <f t="shared" si="13"/>
        <v>5740.7764999999999</v>
      </c>
    </row>
    <row r="32" spans="1:20" s="71" customFormat="1">
      <c r="A32" s="71" t="s">
        <v>642</v>
      </c>
      <c r="B32" s="65" t="s">
        <v>1</v>
      </c>
      <c r="C32" s="66" t="s">
        <v>85</v>
      </c>
      <c r="D32" s="187" t="s">
        <v>200</v>
      </c>
      <c r="E32" s="112" t="s">
        <v>552</v>
      </c>
      <c r="F32" s="229" t="s">
        <v>509</v>
      </c>
      <c r="G32" s="69">
        <v>14.265369</v>
      </c>
      <c r="H32" s="119">
        <v>27193.917519690509</v>
      </c>
      <c r="I32" s="124">
        <v>7.1326844999999999</v>
      </c>
      <c r="J32" s="125">
        <v>28.530737999999999</v>
      </c>
      <c r="K32" s="126">
        <v>13596.958759845254</v>
      </c>
      <c r="L32" s="127">
        <v>54387.835039381018</v>
      </c>
      <c r="M32" s="160">
        <f t="shared" si="7"/>
        <v>27193.917519690509</v>
      </c>
      <c r="N32" s="160">
        <f t="shared" si="8"/>
        <v>13596.958759845254</v>
      </c>
      <c r="O32" s="159">
        <f t="shared" si="9"/>
        <v>14.265369</v>
      </c>
      <c r="P32" s="159">
        <f t="shared" si="10"/>
        <v>7.1326844999999999</v>
      </c>
      <c r="R32" s="161">
        <f t="shared" si="11"/>
        <v>14265.369000000001</v>
      </c>
      <c r="S32" s="161">
        <f t="shared" si="12"/>
        <v>14265.369000000001</v>
      </c>
      <c r="T32" s="161">
        <f t="shared" si="13"/>
        <v>7132.6845000000003</v>
      </c>
    </row>
    <row r="33" spans="1:20" s="71" customFormat="1">
      <c r="A33" s="71" t="s">
        <v>642</v>
      </c>
      <c r="B33" s="65" t="s">
        <v>1</v>
      </c>
      <c r="C33" s="66" t="s">
        <v>24</v>
      </c>
      <c r="D33" s="190" t="s">
        <v>371</v>
      </c>
      <c r="E33" s="112" t="s">
        <v>539</v>
      </c>
      <c r="F33" s="229" t="s">
        <v>495</v>
      </c>
      <c r="G33" s="69">
        <v>32.207816999999999</v>
      </c>
      <c r="H33" s="119">
        <v>65316.81096258825</v>
      </c>
      <c r="I33" s="124">
        <v>16.103908499999999</v>
      </c>
      <c r="J33" s="125">
        <v>48.311725499999994</v>
      </c>
      <c r="K33" s="126">
        <v>32658.405481294125</v>
      </c>
      <c r="L33" s="127">
        <v>97975.216443882382</v>
      </c>
      <c r="M33" s="160">
        <f t="shared" si="7"/>
        <v>32658.405481294132</v>
      </c>
      <c r="N33" s="160">
        <f t="shared" si="8"/>
        <v>32658.405481294125</v>
      </c>
      <c r="O33" s="159">
        <f t="shared" si="9"/>
        <v>16.103908499999996</v>
      </c>
      <c r="P33" s="159">
        <f t="shared" si="10"/>
        <v>16.103908499999999</v>
      </c>
      <c r="R33" s="161">
        <f t="shared" si="11"/>
        <v>32207.816999999999</v>
      </c>
      <c r="S33" s="161">
        <f t="shared" si="12"/>
        <v>16103.908499999996</v>
      </c>
      <c r="T33" s="161">
        <f t="shared" si="13"/>
        <v>16103.9085</v>
      </c>
    </row>
    <row r="34" spans="1:20" s="71" customFormat="1">
      <c r="A34" s="71" t="s">
        <v>642</v>
      </c>
      <c r="B34" s="65" t="s">
        <v>38</v>
      </c>
      <c r="C34" s="66" t="s">
        <v>220</v>
      </c>
      <c r="D34" s="190" t="s">
        <v>216</v>
      </c>
      <c r="E34" s="112" t="s">
        <v>541</v>
      </c>
      <c r="F34" s="229" t="s">
        <v>498</v>
      </c>
      <c r="G34" s="69">
        <v>5.3150000000000003E-3</v>
      </c>
      <c r="H34" s="119">
        <v>7.8342110738352027</v>
      </c>
      <c r="I34" s="124">
        <v>2.6575000000000001E-3</v>
      </c>
      <c r="J34" s="125">
        <v>7.9725000000000004E-3</v>
      </c>
      <c r="K34" s="126">
        <v>3.9171055369176013</v>
      </c>
      <c r="L34" s="127">
        <v>11.751316610752804</v>
      </c>
      <c r="M34" s="160">
        <f t="shared" si="7"/>
        <v>3.9171055369176013</v>
      </c>
      <c r="N34" s="160">
        <f t="shared" si="8"/>
        <v>3.9171055369176013</v>
      </c>
      <c r="O34" s="159">
        <f t="shared" si="9"/>
        <v>2.6575000000000001E-3</v>
      </c>
      <c r="P34" s="159">
        <f t="shared" si="10"/>
        <v>2.6575000000000001E-3</v>
      </c>
      <c r="R34" s="161">
        <f t="shared" si="11"/>
        <v>5.3150000000000004</v>
      </c>
      <c r="S34" s="161">
        <f t="shared" si="12"/>
        <v>2.6575000000000002</v>
      </c>
      <c r="T34" s="161">
        <f t="shared" si="13"/>
        <v>2.6575000000000002</v>
      </c>
    </row>
    <row r="35" spans="1:20" s="71" customFormat="1">
      <c r="A35" s="71" t="s">
        <v>642</v>
      </c>
      <c r="B35" s="65" t="s">
        <v>38</v>
      </c>
      <c r="C35" s="66" t="s">
        <v>248</v>
      </c>
      <c r="D35" s="190" t="s">
        <v>232</v>
      </c>
      <c r="E35" s="112" t="s">
        <v>540</v>
      </c>
      <c r="F35" s="229" t="s">
        <v>497</v>
      </c>
      <c r="G35" s="69">
        <v>3.5199714999999999E-2</v>
      </c>
      <c r="H35" s="119">
        <v>50.763252037322673</v>
      </c>
      <c r="I35" s="124">
        <v>1.75998575E-2</v>
      </c>
      <c r="J35" s="125">
        <v>5.2799572500000003E-2</v>
      </c>
      <c r="K35" s="126">
        <v>25.381626018661336</v>
      </c>
      <c r="L35" s="127">
        <v>76.144878055984009</v>
      </c>
      <c r="M35" s="160">
        <f t="shared" si="7"/>
        <v>25.381626018661336</v>
      </c>
      <c r="N35" s="160">
        <f t="shared" si="8"/>
        <v>25.381626018661336</v>
      </c>
      <c r="O35" s="159">
        <f t="shared" si="9"/>
        <v>1.7599857500000003E-2</v>
      </c>
      <c r="P35" s="159">
        <f t="shared" si="10"/>
        <v>1.75998575E-2</v>
      </c>
      <c r="R35" s="161">
        <f t="shared" si="11"/>
        <v>35.199714999999998</v>
      </c>
      <c r="S35" s="161">
        <f t="shared" si="12"/>
        <v>17.599857500000002</v>
      </c>
      <c r="T35" s="161">
        <f t="shared" si="13"/>
        <v>17.599857499999999</v>
      </c>
    </row>
    <row r="36" spans="1:20" s="71" customFormat="1">
      <c r="A36" s="71" t="s">
        <v>642</v>
      </c>
      <c r="B36" s="65" t="s">
        <v>38</v>
      </c>
      <c r="C36" s="66" t="s">
        <v>247</v>
      </c>
      <c r="D36" s="190" t="s">
        <v>217</v>
      </c>
      <c r="E36" s="112" t="s">
        <v>534</v>
      </c>
      <c r="F36" s="229" t="s">
        <v>476</v>
      </c>
      <c r="G36" s="69">
        <v>5.5192583000000003E-2</v>
      </c>
      <c r="H36" s="119">
        <v>74.138500861070739</v>
      </c>
      <c r="I36" s="124">
        <v>3.3115549800000005E-2</v>
      </c>
      <c r="J36" s="125">
        <v>7.7269616200000002E-2</v>
      </c>
      <c r="K36" s="126">
        <v>44.483100516642438</v>
      </c>
      <c r="L36" s="127">
        <v>103.79390120549904</v>
      </c>
      <c r="M36" s="160">
        <f t="shared" si="7"/>
        <v>29.655400344428301</v>
      </c>
      <c r="N36" s="160">
        <f t="shared" si="8"/>
        <v>29.655400344428301</v>
      </c>
      <c r="O36" s="159">
        <f t="shared" si="9"/>
        <v>2.2077033199999999E-2</v>
      </c>
      <c r="P36" s="159">
        <f t="shared" si="10"/>
        <v>2.2077033199999999E-2</v>
      </c>
      <c r="R36" s="161">
        <f t="shared" si="11"/>
        <v>55.192583000000006</v>
      </c>
      <c r="S36" s="161">
        <f t="shared" si="12"/>
        <v>22.077033199999999</v>
      </c>
      <c r="T36" s="161">
        <f t="shared" si="13"/>
        <v>22.077033199999999</v>
      </c>
    </row>
    <row r="37" spans="1:20" s="71" customFormat="1">
      <c r="A37" s="71" t="s">
        <v>642</v>
      </c>
      <c r="B37" s="65" t="s">
        <v>38</v>
      </c>
      <c r="C37" s="66" t="s">
        <v>113</v>
      </c>
      <c r="D37" s="191" t="s">
        <v>222</v>
      </c>
      <c r="E37" s="112" t="s">
        <v>528</v>
      </c>
      <c r="F37" s="229" t="s">
        <v>489</v>
      </c>
      <c r="G37" s="69">
        <v>0.10280913999999999</v>
      </c>
      <c r="H37" s="119">
        <v>139.6695278322868</v>
      </c>
      <c r="I37" s="124">
        <v>7.1966398000000001E-2</v>
      </c>
      <c r="J37" s="125">
        <v>0.133651882</v>
      </c>
      <c r="K37" s="126">
        <v>97.768669482600757</v>
      </c>
      <c r="L37" s="127">
        <v>181.57038618197285</v>
      </c>
      <c r="M37" s="160">
        <f t="shared" si="7"/>
        <v>41.900858349686047</v>
      </c>
      <c r="N37" s="160">
        <f t="shared" si="8"/>
        <v>41.900858349686047</v>
      </c>
      <c r="O37" s="159">
        <f t="shared" si="9"/>
        <v>3.0842742000000006E-2</v>
      </c>
      <c r="P37" s="159">
        <f t="shared" si="10"/>
        <v>3.0842741999999992E-2</v>
      </c>
      <c r="R37" s="161">
        <f t="shared" si="11"/>
        <v>102.80914</v>
      </c>
      <c r="S37" s="161">
        <f t="shared" si="12"/>
        <v>30.842742000000005</v>
      </c>
      <c r="T37" s="161">
        <f t="shared" si="13"/>
        <v>30.842741999999994</v>
      </c>
    </row>
    <row r="38" spans="1:20" s="71" customFormat="1">
      <c r="A38" s="71" t="s">
        <v>642</v>
      </c>
      <c r="B38" s="65" t="s">
        <v>38</v>
      </c>
      <c r="C38" s="66" t="s">
        <v>195</v>
      </c>
      <c r="D38" s="187" t="s">
        <v>307</v>
      </c>
      <c r="E38" s="112" t="s">
        <v>553</v>
      </c>
      <c r="F38" s="229" t="s">
        <v>510</v>
      </c>
      <c r="G38" s="69">
        <v>0.15890000000000001</v>
      </c>
      <c r="H38" s="119">
        <v>298.38669374595929</v>
      </c>
      <c r="I38" s="124">
        <v>7.9450000000000007E-2</v>
      </c>
      <c r="J38" s="125">
        <v>0.31780000000000003</v>
      </c>
      <c r="K38" s="126">
        <v>149.19334687297965</v>
      </c>
      <c r="L38" s="127">
        <v>596.77338749191858</v>
      </c>
      <c r="M38" s="160">
        <f t="shared" si="7"/>
        <v>298.38669374595929</v>
      </c>
      <c r="N38" s="160">
        <f t="shared" si="8"/>
        <v>149.19334687297965</v>
      </c>
      <c r="O38" s="159">
        <f t="shared" si="9"/>
        <v>0.15890000000000001</v>
      </c>
      <c r="P38" s="159">
        <f t="shared" si="10"/>
        <v>7.9450000000000007E-2</v>
      </c>
      <c r="R38" s="161">
        <f t="shared" si="11"/>
        <v>158.9</v>
      </c>
      <c r="S38" s="161">
        <f t="shared" si="12"/>
        <v>158.9</v>
      </c>
      <c r="T38" s="161">
        <f t="shared" si="13"/>
        <v>79.45</v>
      </c>
    </row>
    <row r="39" spans="1:20" s="71" customFormat="1">
      <c r="A39" s="71" t="s">
        <v>642</v>
      </c>
      <c r="B39" s="65" t="s">
        <v>38</v>
      </c>
      <c r="C39" s="66" t="s">
        <v>19</v>
      </c>
      <c r="D39" s="191" t="s">
        <v>236</v>
      </c>
      <c r="E39" s="112" t="s">
        <v>529</v>
      </c>
      <c r="F39" s="229" t="s">
        <v>482</v>
      </c>
      <c r="G39" s="69">
        <v>0.51648035999999997</v>
      </c>
      <c r="H39" s="119">
        <v>862.12903767869295</v>
      </c>
      <c r="I39" s="124">
        <v>0.36153625199999995</v>
      </c>
      <c r="J39" s="125">
        <v>0.671424468</v>
      </c>
      <c r="K39" s="126">
        <v>603.49032637508503</v>
      </c>
      <c r="L39" s="127">
        <v>1120.7677489823009</v>
      </c>
      <c r="M39" s="160">
        <f t="shared" si="7"/>
        <v>258.63871130360792</v>
      </c>
      <c r="N39" s="160">
        <f t="shared" si="8"/>
        <v>258.63871130360792</v>
      </c>
      <c r="O39" s="159">
        <f t="shared" si="9"/>
        <v>0.15494410800000002</v>
      </c>
      <c r="P39" s="159">
        <f t="shared" si="10"/>
        <v>0.15494410800000002</v>
      </c>
      <c r="R39" s="161">
        <f t="shared" si="11"/>
        <v>516.48036000000002</v>
      </c>
      <c r="S39" s="161">
        <f t="shared" si="12"/>
        <v>154.94410800000003</v>
      </c>
      <c r="T39" s="161">
        <f t="shared" si="13"/>
        <v>154.94410800000003</v>
      </c>
    </row>
    <row r="40" spans="1:20" s="71" customFormat="1">
      <c r="A40" s="71" t="s">
        <v>642</v>
      </c>
      <c r="B40" s="65" t="s">
        <v>38</v>
      </c>
      <c r="C40" s="66" t="s">
        <v>253</v>
      </c>
      <c r="D40" s="187" t="s">
        <v>308</v>
      </c>
      <c r="E40" s="112" t="s">
        <v>560</v>
      </c>
      <c r="F40" s="229" t="s">
        <v>519</v>
      </c>
      <c r="G40" s="69">
        <v>2.8064467</v>
      </c>
      <c r="H40" s="119">
        <v>2254.4955109512716</v>
      </c>
      <c r="I40" s="124">
        <v>0.56128933999999997</v>
      </c>
      <c r="J40" s="125">
        <v>14.0322335</v>
      </c>
      <c r="K40" s="126">
        <v>450.89910219025433</v>
      </c>
      <c r="L40" s="127">
        <v>11272.477554756359</v>
      </c>
      <c r="M40" s="160">
        <f t="shared" si="7"/>
        <v>9017.9820438050865</v>
      </c>
      <c r="N40" s="160">
        <f t="shared" si="8"/>
        <v>1803.5964087610173</v>
      </c>
      <c r="O40" s="159">
        <f t="shared" si="9"/>
        <v>11.2257868</v>
      </c>
      <c r="P40" s="159">
        <f t="shared" si="10"/>
        <v>2.2451573599999999</v>
      </c>
      <c r="R40" s="161">
        <f t="shared" si="11"/>
        <v>2806.4467</v>
      </c>
      <c r="S40" s="161">
        <f t="shared" si="12"/>
        <v>11225.7868</v>
      </c>
      <c r="T40" s="161">
        <f t="shared" si="13"/>
        <v>2245.1573599999997</v>
      </c>
    </row>
    <row r="41" spans="1:20" s="244" customFormat="1">
      <c r="A41" s="233" t="s">
        <v>643</v>
      </c>
      <c r="B41" s="234" t="s">
        <v>38</v>
      </c>
      <c r="C41" s="235" t="s">
        <v>721</v>
      </c>
      <c r="D41" s="247">
        <v>0.4</v>
      </c>
      <c r="E41" s="237" t="s">
        <v>534</v>
      </c>
      <c r="F41" s="238" t="s">
        <v>476</v>
      </c>
      <c r="G41" s="245">
        <v>5.5192583000000003E-2</v>
      </c>
      <c r="H41" s="246">
        <v>74.138500861070739</v>
      </c>
      <c r="I41" s="241"/>
      <c r="J41" s="242"/>
      <c r="K41" s="242"/>
      <c r="L41" s="243"/>
    </row>
    <row r="42" spans="1:20" s="244" customFormat="1">
      <c r="A42" s="233" t="s">
        <v>643</v>
      </c>
      <c r="B42" s="234" t="s">
        <v>38</v>
      </c>
      <c r="C42" s="235" t="s">
        <v>114</v>
      </c>
      <c r="D42" s="236">
        <v>10</v>
      </c>
      <c r="E42" s="237" t="s">
        <v>577</v>
      </c>
      <c r="F42" s="238" t="s">
        <v>590</v>
      </c>
      <c r="G42" s="245">
        <v>1.4641096</v>
      </c>
      <c r="H42" s="246">
        <v>937.170910924483</v>
      </c>
      <c r="I42" s="241"/>
      <c r="J42" s="242"/>
      <c r="K42" s="242"/>
      <c r="L42" s="243"/>
    </row>
    <row r="43" spans="1:20" s="71" customFormat="1">
      <c r="A43" s="71" t="s">
        <v>642</v>
      </c>
      <c r="B43" s="65" t="s">
        <v>438</v>
      </c>
      <c r="C43" s="84" t="s">
        <v>53</v>
      </c>
      <c r="D43" s="187" t="s">
        <v>200</v>
      </c>
      <c r="E43" s="112" t="s">
        <v>554</v>
      </c>
      <c r="F43" s="229" t="s">
        <v>511</v>
      </c>
      <c r="G43" s="69">
        <v>9.9516740000000006E-3</v>
      </c>
      <c r="H43" s="119">
        <v>8.4566888560873181</v>
      </c>
      <c r="I43" s="124">
        <v>4.9758370000000003E-3</v>
      </c>
      <c r="J43" s="125">
        <v>1.9903348000000001E-2</v>
      </c>
      <c r="K43" s="126">
        <v>4.2283444280436591</v>
      </c>
      <c r="L43" s="127">
        <v>16.913377712174636</v>
      </c>
      <c r="M43" s="160">
        <f t="shared" ref="M43:M55" si="14">L43-H43</f>
        <v>8.4566888560873181</v>
      </c>
      <c r="N43" s="160">
        <f t="shared" ref="N43:N55" si="15">H43-K43</f>
        <v>4.2283444280436591</v>
      </c>
      <c r="O43" s="159">
        <f t="shared" ref="O43:O55" si="16">J43-G43</f>
        <v>9.9516740000000006E-3</v>
      </c>
      <c r="P43" s="159">
        <f t="shared" ref="P43:P55" si="17">G43-I43</f>
        <v>4.9758370000000003E-3</v>
      </c>
      <c r="R43" s="161">
        <f t="shared" ref="R43:R55" si="18">G43*1000</f>
        <v>9.9516740000000006</v>
      </c>
      <c r="S43" s="161">
        <f t="shared" ref="S43:S55" si="19">O43*1000</f>
        <v>9.9516740000000006</v>
      </c>
      <c r="T43" s="161">
        <f t="shared" ref="T43:T55" si="20">P43*1000</f>
        <v>4.9758370000000003</v>
      </c>
    </row>
    <row r="44" spans="1:20" s="71" customFormat="1">
      <c r="A44" s="71" t="s">
        <v>642</v>
      </c>
      <c r="B44" s="65" t="s">
        <v>438</v>
      </c>
      <c r="C44" s="66" t="s">
        <v>138</v>
      </c>
      <c r="D44" s="190" t="s">
        <v>216</v>
      </c>
      <c r="E44" s="112" t="s">
        <v>542</v>
      </c>
      <c r="F44" s="229" t="s">
        <v>499</v>
      </c>
      <c r="G44" s="69">
        <v>2.2048029E-2</v>
      </c>
      <c r="H44" s="119">
        <v>24.68810649890937</v>
      </c>
      <c r="I44" s="124">
        <v>1.10240145E-2</v>
      </c>
      <c r="J44" s="125">
        <v>3.3072043500000002E-2</v>
      </c>
      <c r="K44" s="126">
        <v>12.344053249454685</v>
      </c>
      <c r="L44" s="127">
        <v>37.032159748364052</v>
      </c>
      <c r="M44" s="160">
        <f t="shared" si="14"/>
        <v>12.344053249454682</v>
      </c>
      <c r="N44" s="160">
        <f t="shared" si="15"/>
        <v>12.344053249454685</v>
      </c>
      <c r="O44" s="159">
        <f t="shared" si="16"/>
        <v>1.1024014500000002E-2</v>
      </c>
      <c r="P44" s="159">
        <f t="shared" si="17"/>
        <v>1.10240145E-2</v>
      </c>
      <c r="R44" s="161">
        <f t="shared" si="18"/>
        <v>22.048029</v>
      </c>
      <c r="S44" s="161">
        <f t="shared" si="19"/>
        <v>11.024014500000002</v>
      </c>
      <c r="T44" s="161">
        <f t="shared" si="20"/>
        <v>11.0240145</v>
      </c>
    </row>
    <row r="45" spans="1:20" s="71" customFormat="1">
      <c r="A45" s="71" t="s">
        <v>642</v>
      </c>
      <c r="B45" s="65" t="s">
        <v>438</v>
      </c>
      <c r="C45" s="66" t="s">
        <v>336</v>
      </c>
      <c r="D45" s="187" t="s">
        <v>200</v>
      </c>
      <c r="E45" s="112" t="s">
        <v>559</v>
      </c>
      <c r="F45" s="229" t="s">
        <v>516</v>
      </c>
      <c r="G45" s="69">
        <v>3.0845792E-2</v>
      </c>
      <c r="H45" s="119">
        <v>33.512047632653974</v>
      </c>
      <c r="I45" s="124">
        <v>1.5422896E-2</v>
      </c>
      <c r="J45" s="125">
        <v>6.1691584000000001E-2</v>
      </c>
      <c r="K45" s="126">
        <v>16.756023816326987</v>
      </c>
      <c r="L45" s="127">
        <v>67.024095265307949</v>
      </c>
      <c r="M45" s="160">
        <f t="shared" si="14"/>
        <v>33.512047632653974</v>
      </c>
      <c r="N45" s="160">
        <f t="shared" si="15"/>
        <v>16.756023816326987</v>
      </c>
      <c r="O45" s="159">
        <f t="shared" si="16"/>
        <v>3.0845792E-2</v>
      </c>
      <c r="P45" s="159">
        <f t="shared" si="17"/>
        <v>1.5422896E-2</v>
      </c>
      <c r="R45" s="161">
        <f t="shared" si="18"/>
        <v>30.845791999999999</v>
      </c>
      <c r="S45" s="161">
        <f t="shared" si="19"/>
        <v>30.845791999999999</v>
      </c>
      <c r="T45" s="161">
        <f t="shared" si="20"/>
        <v>15.422896</v>
      </c>
    </row>
    <row r="46" spans="1:20" s="71" customFormat="1">
      <c r="A46" s="71" t="s">
        <v>642</v>
      </c>
      <c r="B46" s="65" t="s">
        <v>438</v>
      </c>
      <c r="C46" s="84" t="s">
        <v>50</v>
      </c>
      <c r="D46" s="190" t="s">
        <v>216</v>
      </c>
      <c r="E46" s="112" t="s">
        <v>540</v>
      </c>
      <c r="F46" s="229" t="s">
        <v>500</v>
      </c>
      <c r="G46" s="69">
        <v>3.1121656000000001E-2</v>
      </c>
      <c r="H46" s="119">
        <v>46.352653807595956</v>
      </c>
      <c r="I46" s="124">
        <v>1.5560828000000001E-2</v>
      </c>
      <c r="J46" s="125">
        <v>4.6682484000000003E-2</v>
      </c>
      <c r="K46" s="126">
        <v>23.176326903797978</v>
      </c>
      <c r="L46" s="127">
        <v>69.528980711393928</v>
      </c>
      <c r="M46" s="160">
        <f t="shared" si="14"/>
        <v>23.176326903797971</v>
      </c>
      <c r="N46" s="160">
        <f t="shared" si="15"/>
        <v>23.176326903797978</v>
      </c>
      <c r="O46" s="159">
        <f t="shared" si="16"/>
        <v>1.5560828000000002E-2</v>
      </c>
      <c r="P46" s="159">
        <f t="shared" si="17"/>
        <v>1.5560828000000001E-2</v>
      </c>
      <c r="R46" s="161">
        <f t="shared" si="18"/>
        <v>31.121656000000002</v>
      </c>
      <c r="S46" s="161">
        <f t="shared" si="19"/>
        <v>15.560828000000003</v>
      </c>
      <c r="T46" s="161">
        <f t="shared" si="20"/>
        <v>15.560828000000001</v>
      </c>
    </row>
    <row r="47" spans="1:20" s="71" customFormat="1">
      <c r="A47" s="71" t="s">
        <v>642</v>
      </c>
      <c r="B47" s="65" t="s">
        <v>438</v>
      </c>
      <c r="C47" s="84" t="s">
        <v>52</v>
      </c>
      <c r="D47" s="190" t="s">
        <v>216</v>
      </c>
      <c r="E47" s="112" t="s">
        <v>537</v>
      </c>
      <c r="F47" s="229" t="s">
        <v>501</v>
      </c>
      <c r="G47" s="69">
        <v>3.9125422999999999E-2</v>
      </c>
      <c r="H47" s="119">
        <v>55.413236272241924</v>
      </c>
      <c r="I47" s="124">
        <v>1.95627115E-2</v>
      </c>
      <c r="J47" s="125">
        <v>5.8688134500000003E-2</v>
      </c>
      <c r="K47" s="126">
        <v>27.706618136120962</v>
      </c>
      <c r="L47" s="127">
        <v>83.119854408362883</v>
      </c>
      <c r="M47" s="160">
        <f t="shared" si="14"/>
        <v>27.706618136120959</v>
      </c>
      <c r="N47" s="160">
        <f t="shared" si="15"/>
        <v>27.706618136120962</v>
      </c>
      <c r="O47" s="159">
        <f t="shared" si="16"/>
        <v>1.9562711500000003E-2</v>
      </c>
      <c r="P47" s="159">
        <f t="shared" si="17"/>
        <v>1.95627115E-2</v>
      </c>
      <c r="R47" s="161">
        <f t="shared" si="18"/>
        <v>39.125422999999998</v>
      </c>
      <c r="S47" s="161">
        <f t="shared" si="19"/>
        <v>19.562711500000002</v>
      </c>
      <c r="T47" s="161">
        <f t="shared" si="20"/>
        <v>19.562711499999999</v>
      </c>
    </row>
    <row r="48" spans="1:20" s="71" customFormat="1">
      <c r="A48" s="71" t="s">
        <v>642</v>
      </c>
      <c r="B48" s="65" t="s">
        <v>438</v>
      </c>
      <c r="C48" s="66" t="s">
        <v>335</v>
      </c>
      <c r="D48" s="187" t="s">
        <v>312</v>
      </c>
      <c r="E48" s="112" t="s">
        <v>558</v>
      </c>
      <c r="F48" s="229" t="s">
        <v>515</v>
      </c>
      <c r="G48" s="69">
        <v>4.5695101000000002E-2</v>
      </c>
      <c r="H48" s="119">
        <v>63.045924441907516</v>
      </c>
      <c r="I48" s="124">
        <v>2.2847550500000001E-2</v>
      </c>
      <c r="J48" s="125">
        <v>9.1390202000000004E-2</v>
      </c>
      <c r="K48" s="126">
        <v>31.522962220953758</v>
      </c>
      <c r="L48" s="127">
        <v>126.09184888381503</v>
      </c>
      <c r="M48" s="160">
        <f t="shared" si="14"/>
        <v>63.045924441907516</v>
      </c>
      <c r="N48" s="160">
        <f t="shared" si="15"/>
        <v>31.522962220953758</v>
      </c>
      <c r="O48" s="159">
        <f t="shared" si="16"/>
        <v>4.5695101000000002E-2</v>
      </c>
      <c r="P48" s="159">
        <f t="shared" si="17"/>
        <v>2.2847550500000001E-2</v>
      </c>
      <c r="R48" s="161">
        <f t="shared" si="18"/>
        <v>45.695101000000001</v>
      </c>
      <c r="S48" s="161">
        <f t="shared" si="19"/>
        <v>45.695101000000001</v>
      </c>
      <c r="T48" s="161">
        <f t="shared" si="20"/>
        <v>22.847550500000001</v>
      </c>
    </row>
    <row r="49" spans="1:20" s="71" customFormat="1" ht="15" thickBot="1">
      <c r="A49" s="71" t="s">
        <v>642</v>
      </c>
      <c r="B49" s="73" t="s">
        <v>438</v>
      </c>
      <c r="C49" s="74" t="s">
        <v>332</v>
      </c>
      <c r="D49" s="188" t="s">
        <v>200</v>
      </c>
      <c r="E49" s="116" t="s">
        <v>555</v>
      </c>
      <c r="F49" s="231" t="s">
        <v>512</v>
      </c>
      <c r="G49" s="77">
        <v>7.0093205000000006E-2</v>
      </c>
      <c r="H49" s="120">
        <v>72.124661835116797</v>
      </c>
      <c r="I49" s="130">
        <v>3.5046602500000003E-2</v>
      </c>
      <c r="J49" s="131">
        <v>0.14018641000000001</v>
      </c>
      <c r="K49" s="132">
        <v>36.062330917558398</v>
      </c>
      <c r="L49" s="133">
        <v>144.24932367023359</v>
      </c>
      <c r="M49" s="160">
        <f t="shared" si="14"/>
        <v>72.124661835116797</v>
      </c>
      <c r="N49" s="160">
        <f t="shared" si="15"/>
        <v>36.062330917558398</v>
      </c>
      <c r="O49" s="159">
        <f t="shared" si="16"/>
        <v>7.0093205000000006E-2</v>
      </c>
      <c r="P49" s="159">
        <f t="shared" si="17"/>
        <v>3.5046602500000003E-2</v>
      </c>
      <c r="R49" s="161">
        <f t="shared" si="18"/>
        <v>70.093205000000012</v>
      </c>
      <c r="S49" s="161">
        <f t="shared" si="19"/>
        <v>70.093205000000012</v>
      </c>
      <c r="T49" s="161">
        <f t="shared" si="20"/>
        <v>35.046602500000006</v>
      </c>
    </row>
    <row r="50" spans="1:20">
      <c r="A50" s="71" t="s">
        <v>642</v>
      </c>
      <c r="B50" s="65" t="s">
        <v>438</v>
      </c>
      <c r="C50" s="66" t="s">
        <v>304</v>
      </c>
      <c r="D50" s="187" t="s">
        <v>311</v>
      </c>
      <c r="E50" s="112" t="s">
        <v>557</v>
      </c>
      <c r="F50" s="232" t="s">
        <v>514</v>
      </c>
      <c r="G50" s="69">
        <v>7.4256890000000006E-2</v>
      </c>
      <c r="H50" s="70">
        <v>96.439776944594371</v>
      </c>
      <c r="I50" s="197">
        <v>3.7128445000000003E-2</v>
      </c>
      <c r="J50" s="197">
        <v>0.14851378000000001</v>
      </c>
      <c r="K50" s="198">
        <v>48.219888472297185</v>
      </c>
      <c r="L50" s="198">
        <v>192.87955388918874</v>
      </c>
      <c r="M50" s="160">
        <f t="shared" si="14"/>
        <v>96.439776944594371</v>
      </c>
      <c r="N50" s="160">
        <f t="shared" si="15"/>
        <v>48.219888472297185</v>
      </c>
      <c r="O50" s="159">
        <f t="shared" si="16"/>
        <v>7.4256890000000006E-2</v>
      </c>
      <c r="P50" s="159">
        <f t="shared" si="17"/>
        <v>3.7128445000000003E-2</v>
      </c>
      <c r="Q50" s="71"/>
      <c r="R50" s="161">
        <f t="shared" si="18"/>
        <v>74.256890000000013</v>
      </c>
      <c r="S50" s="161">
        <f t="shared" si="19"/>
        <v>74.256890000000013</v>
      </c>
      <c r="T50" s="161">
        <f t="shared" si="20"/>
        <v>37.128445000000006</v>
      </c>
    </row>
    <row r="51" spans="1:20">
      <c r="A51" s="71" t="s">
        <v>642</v>
      </c>
      <c r="B51" s="65" t="s">
        <v>438</v>
      </c>
      <c r="C51" s="66" t="s">
        <v>306</v>
      </c>
      <c r="D51" s="190" t="s">
        <v>216</v>
      </c>
      <c r="E51" s="112" t="s">
        <v>546</v>
      </c>
      <c r="F51" s="232" t="s">
        <v>502</v>
      </c>
      <c r="G51" s="69">
        <v>0.11344694</v>
      </c>
      <c r="H51" s="70">
        <v>119.41271157440602</v>
      </c>
      <c r="I51" s="197">
        <v>5.6723469999999998E-2</v>
      </c>
      <c r="J51" s="197">
        <v>0.17017040999999999</v>
      </c>
      <c r="K51" s="198">
        <v>59.706355787203009</v>
      </c>
      <c r="L51" s="198">
        <v>179.11906736160904</v>
      </c>
      <c r="M51" s="160">
        <f t="shared" si="14"/>
        <v>59.706355787203023</v>
      </c>
      <c r="N51" s="160">
        <f t="shared" si="15"/>
        <v>59.706355787203009</v>
      </c>
      <c r="O51" s="159">
        <f t="shared" si="16"/>
        <v>5.6723469999999998E-2</v>
      </c>
      <c r="P51" s="159">
        <f t="shared" si="17"/>
        <v>5.6723469999999998E-2</v>
      </c>
      <c r="Q51" s="86"/>
      <c r="R51" s="161">
        <f t="shared" si="18"/>
        <v>113.44694</v>
      </c>
      <c r="S51" s="161">
        <f t="shared" si="19"/>
        <v>56.723469999999999</v>
      </c>
      <c r="T51" s="161">
        <f t="shared" si="20"/>
        <v>56.723469999999999</v>
      </c>
    </row>
    <row r="52" spans="1:20">
      <c r="A52" s="71" t="s">
        <v>642</v>
      </c>
      <c r="B52" s="65" t="s">
        <v>438</v>
      </c>
      <c r="C52" s="66" t="s">
        <v>333</v>
      </c>
      <c r="D52" s="190" t="s">
        <v>216</v>
      </c>
      <c r="E52" s="112" t="s">
        <v>543</v>
      </c>
      <c r="F52" s="232" t="s">
        <v>502</v>
      </c>
      <c r="G52" s="69">
        <v>9.4660153999999996E-2</v>
      </c>
      <c r="H52" s="70">
        <v>120.90993868895241</v>
      </c>
      <c r="I52" s="197">
        <v>4.7330076999999998E-2</v>
      </c>
      <c r="J52" s="197">
        <v>0.14199023099999999</v>
      </c>
      <c r="K52" s="198">
        <v>60.454969344476204</v>
      </c>
      <c r="L52" s="198">
        <v>181.36490803342861</v>
      </c>
      <c r="M52" s="160">
        <f t="shared" si="14"/>
        <v>60.454969344476197</v>
      </c>
      <c r="N52" s="160">
        <f t="shared" si="15"/>
        <v>60.454969344476204</v>
      </c>
      <c r="O52" s="159">
        <f t="shared" si="16"/>
        <v>4.7330076999999998E-2</v>
      </c>
      <c r="P52" s="159">
        <f t="shared" si="17"/>
        <v>4.7330076999999998E-2</v>
      </c>
      <c r="Q52" s="86"/>
      <c r="R52" s="161">
        <f t="shared" si="18"/>
        <v>94.660153999999991</v>
      </c>
      <c r="S52" s="161">
        <f t="shared" si="19"/>
        <v>47.330076999999996</v>
      </c>
      <c r="T52" s="161">
        <f t="shared" si="20"/>
        <v>47.330076999999996</v>
      </c>
    </row>
    <row r="53" spans="1:20">
      <c r="A53" s="71" t="s">
        <v>642</v>
      </c>
      <c r="B53" s="65" t="s">
        <v>438</v>
      </c>
      <c r="C53" s="66" t="s">
        <v>334</v>
      </c>
      <c r="D53" s="190" t="s">
        <v>216</v>
      </c>
      <c r="E53" s="112" t="s">
        <v>544</v>
      </c>
      <c r="F53" s="232" t="s">
        <v>503</v>
      </c>
      <c r="G53" s="69">
        <v>0.10281868</v>
      </c>
      <c r="H53" s="70">
        <v>129.8336285903012</v>
      </c>
      <c r="I53" s="197">
        <v>5.1409339999999998E-2</v>
      </c>
      <c r="J53" s="197">
        <v>0.15422801999999999</v>
      </c>
      <c r="K53" s="198">
        <v>64.916814295150601</v>
      </c>
      <c r="L53" s="198">
        <v>194.7504428854518</v>
      </c>
      <c r="M53" s="160">
        <f t="shared" si="14"/>
        <v>64.916814295150601</v>
      </c>
      <c r="N53" s="160">
        <f t="shared" si="15"/>
        <v>64.916814295150601</v>
      </c>
      <c r="O53" s="159">
        <f t="shared" si="16"/>
        <v>5.1409339999999998E-2</v>
      </c>
      <c r="P53" s="159">
        <f t="shared" si="17"/>
        <v>5.1409339999999998E-2</v>
      </c>
      <c r="Q53" s="86"/>
      <c r="R53" s="161">
        <f t="shared" si="18"/>
        <v>102.81868</v>
      </c>
      <c r="S53" s="161">
        <f t="shared" si="19"/>
        <v>51.40934</v>
      </c>
      <c r="T53" s="161">
        <f t="shared" si="20"/>
        <v>51.40934</v>
      </c>
    </row>
    <row r="54" spans="1:20">
      <c r="A54" s="71" t="s">
        <v>642</v>
      </c>
      <c r="B54" s="65" t="s">
        <v>438</v>
      </c>
      <c r="C54" s="66" t="s">
        <v>303</v>
      </c>
      <c r="D54" s="187" t="s">
        <v>310</v>
      </c>
      <c r="E54" s="112" t="s">
        <v>556</v>
      </c>
      <c r="F54" s="232" t="s">
        <v>513</v>
      </c>
      <c r="G54" s="69">
        <v>0.20564112000000001</v>
      </c>
      <c r="H54" s="70">
        <v>250.05149659710594</v>
      </c>
      <c r="I54" s="197">
        <v>0.10282056000000001</v>
      </c>
      <c r="J54" s="197">
        <v>0.41128224000000002</v>
      </c>
      <c r="K54" s="198">
        <v>125.02574829855297</v>
      </c>
      <c r="L54" s="198">
        <v>500.10299319421188</v>
      </c>
      <c r="M54" s="160">
        <f t="shared" si="14"/>
        <v>250.05149659710594</v>
      </c>
      <c r="N54" s="160">
        <f t="shared" si="15"/>
        <v>125.02574829855297</v>
      </c>
      <c r="O54" s="159">
        <f t="shared" si="16"/>
        <v>0.20564112000000001</v>
      </c>
      <c r="P54" s="159">
        <f t="shared" si="17"/>
        <v>0.10282056000000001</v>
      </c>
      <c r="Q54" s="71"/>
      <c r="R54" s="161">
        <f t="shared" si="18"/>
        <v>205.64112</v>
      </c>
      <c r="S54" s="161">
        <f t="shared" si="19"/>
        <v>205.64112</v>
      </c>
      <c r="T54" s="161">
        <f t="shared" si="20"/>
        <v>102.82056</v>
      </c>
    </row>
    <row r="55" spans="1:20">
      <c r="A55" s="71" t="s">
        <v>642</v>
      </c>
      <c r="B55" s="65" t="s">
        <v>438</v>
      </c>
      <c r="C55" s="66" t="s">
        <v>305</v>
      </c>
      <c r="D55" s="190" t="s">
        <v>216</v>
      </c>
      <c r="E55" s="112" t="s">
        <v>545</v>
      </c>
      <c r="F55" s="232" t="s">
        <v>504</v>
      </c>
      <c r="G55" s="69">
        <v>0.24483116999999999</v>
      </c>
      <c r="H55" s="70">
        <v>273.02443577691753</v>
      </c>
      <c r="I55" s="197">
        <v>0.12241558499999999</v>
      </c>
      <c r="J55" s="197">
        <v>0.36724675499999998</v>
      </c>
      <c r="K55" s="198">
        <v>136.51221788845876</v>
      </c>
      <c r="L55" s="198">
        <v>409.53665366537632</v>
      </c>
      <c r="M55" s="160">
        <f t="shared" si="14"/>
        <v>136.51221788845879</v>
      </c>
      <c r="N55" s="160">
        <f t="shared" si="15"/>
        <v>136.51221788845876</v>
      </c>
      <c r="O55" s="159">
        <f t="shared" si="16"/>
        <v>0.12241558499999999</v>
      </c>
      <c r="P55" s="159">
        <f t="shared" si="17"/>
        <v>0.12241558499999999</v>
      </c>
      <c r="Q55" s="71"/>
      <c r="R55" s="161">
        <f t="shared" si="18"/>
        <v>244.83116999999999</v>
      </c>
      <c r="S55" s="161">
        <f t="shared" si="19"/>
        <v>122.41558499999999</v>
      </c>
      <c r="T55" s="161">
        <f t="shared" si="20"/>
        <v>122.41558499999999</v>
      </c>
    </row>
    <row r="56" spans="1:20" s="244" customFormat="1">
      <c r="A56" s="233" t="s">
        <v>643</v>
      </c>
      <c r="B56" s="234" t="s">
        <v>438</v>
      </c>
      <c r="C56" s="235" t="s">
        <v>48</v>
      </c>
      <c r="D56" s="236">
        <v>2</v>
      </c>
      <c r="E56" s="237" t="s">
        <v>550</v>
      </c>
      <c r="F56" s="249" t="s">
        <v>584</v>
      </c>
      <c r="G56" s="245">
        <v>2.4259216E-2</v>
      </c>
      <c r="H56" s="250">
        <v>17.312235200913868</v>
      </c>
      <c r="I56" s="251"/>
      <c r="J56" s="251"/>
      <c r="K56" s="251"/>
      <c r="L56" s="251"/>
    </row>
    <row r="57" spans="1:20" s="244" customFormat="1">
      <c r="A57" s="233" t="s">
        <v>643</v>
      </c>
      <c r="B57" s="234" t="s">
        <v>438</v>
      </c>
      <c r="C57" s="235" t="s">
        <v>55</v>
      </c>
      <c r="D57" s="247">
        <v>0.5</v>
      </c>
      <c r="E57" s="237" t="s">
        <v>566</v>
      </c>
      <c r="F57" s="249" t="s">
        <v>579</v>
      </c>
      <c r="G57" s="245">
        <v>2.3317665000000001E-2</v>
      </c>
      <c r="H57" s="250">
        <v>35.005687060780502</v>
      </c>
      <c r="I57" s="251"/>
      <c r="J57" s="251"/>
      <c r="K57" s="251"/>
      <c r="L57" s="251"/>
    </row>
    <row r="58" spans="1:20" s="244" customFormat="1">
      <c r="A58" s="233" t="s">
        <v>643</v>
      </c>
      <c r="B58" s="234" t="s">
        <v>438</v>
      </c>
      <c r="C58" s="235" t="s">
        <v>58</v>
      </c>
      <c r="D58" s="247">
        <v>0.5</v>
      </c>
      <c r="E58" s="237" t="s">
        <v>566</v>
      </c>
      <c r="F58" s="249" t="s">
        <v>580</v>
      </c>
      <c r="G58" s="245">
        <v>2.6666532E-2</v>
      </c>
      <c r="H58" s="250">
        <v>42.501973704446463</v>
      </c>
      <c r="I58" s="251"/>
      <c r="J58" s="251"/>
      <c r="K58" s="251"/>
      <c r="L58" s="251"/>
    </row>
    <row r="59" spans="1:20" s="244" customFormat="1">
      <c r="A59" s="233" t="s">
        <v>643</v>
      </c>
      <c r="B59" s="234" t="s">
        <v>438</v>
      </c>
      <c r="C59" s="235" t="s">
        <v>56</v>
      </c>
      <c r="D59" s="247">
        <v>0.5</v>
      </c>
      <c r="E59" s="237" t="s">
        <v>540</v>
      </c>
      <c r="F59" s="249" t="s">
        <v>497</v>
      </c>
      <c r="G59" s="245">
        <v>3.4961933000000001E-2</v>
      </c>
      <c r="H59" s="250">
        <v>51.137872897834605</v>
      </c>
      <c r="I59" s="251"/>
      <c r="J59" s="251"/>
      <c r="K59" s="251"/>
      <c r="L59" s="251"/>
    </row>
    <row r="60" spans="1:20" s="244" customFormat="1">
      <c r="A60" s="233" t="s">
        <v>643</v>
      </c>
      <c r="B60" s="234" t="s">
        <v>438</v>
      </c>
      <c r="C60" s="235" t="s">
        <v>343</v>
      </c>
      <c r="D60" s="247">
        <v>0.5</v>
      </c>
      <c r="E60" s="237" t="s">
        <v>567</v>
      </c>
      <c r="F60" s="249" t="s">
        <v>502</v>
      </c>
      <c r="G60" s="245">
        <v>0.11774149</v>
      </c>
      <c r="H60" s="250">
        <v>125.3715286226643</v>
      </c>
      <c r="I60" s="251"/>
      <c r="J60" s="251"/>
      <c r="K60" s="251"/>
      <c r="L60" s="251"/>
    </row>
    <row r="61" spans="1:20" s="244" customFormat="1">
      <c r="A61" s="233" t="s">
        <v>643</v>
      </c>
      <c r="B61" s="234" t="s">
        <v>438</v>
      </c>
      <c r="C61" s="235" t="s">
        <v>57</v>
      </c>
      <c r="D61" s="236">
        <v>2</v>
      </c>
      <c r="E61" s="237" t="s">
        <v>572</v>
      </c>
      <c r="F61" s="249" t="s">
        <v>585</v>
      </c>
      <c r="G61" s="245">
        <v>0.14324999999999999</v>
      </c>
      <c r="H61" s="250">
        <v>178.6164082908914</v>
      </c>
      <c r="I61" s="251"/>
      <c r="J61" s="251"/>
      <c r="K61" s="251"/>
      <c r="L61" s="251"/>
    </row>
    <row r="62" spans="1:20" s="244" customFormat="1">
      <c r="A62" s="233" t="s">
        <v>643</v>
      </c>
      <c r="B62" s="234" t="s">
        <v>438</v>
      </c>
      <c r="C62" s="235" t="s">
        <v>160</v>
      </c>
      <c r="D62" s="236">
        <v>3</v>
      </c>
      <c r="E62" s="237" t="s">
        <v>573</v>
      </c>
      <c r="F62" s="249" t="s">
        <v>586</v>
      </c>
      <c r="G62" s="245">
        <v>0.22940548999999999</v>
      </c>
      <c r="H62" s="250">
        <v>279.27793217704232</v>
      </c>
      <c r="I62" s="251"/>
      <c r="J62" s="251"/>
      <c r="K62" s="251"/>
      <c r="L62" s="251"/>
    </row>
    <row r="63" spans="1:20">
      <c r="A63" s="71" t="s">
        <v>642</v>
      </c>
      <c r="B63" s="89" t="s">
        <v>456</v>
      </c>
      <c r="C63" s="84" t="s">
        <v>44</v>
      </c>
      <c r="D63" s="191" t="s">
        <v>199</v>
      </c>
      <c r="E63" s="112" t="s">
        <v>532</v>
      </c>
      <c r="F63" s="232" t="s">
        <v>490</v>
      </c>
      <c r="G63" s="69">
        <v>0.32056327000000001</v>
      </c>
      <c r="H63" s="70">
        <v>377.3963270941411</v>
      </c>
      <c r="I63" s="197">
        <v>0.22439428900000002</v>
      </c>
      <c r="J63" s="197">
        <v>0.416732251</v>
      </c>
      <c r="K63" s="198">
        <v>264.1774289658988</v>
      </c>
      <c r="L63" s="198">
        <v>490.6152252223834</v>
      </c>
      <c r="M63" s="160">
        <f>L63-H63</f>
        <v>113.2188981282423</v>
      </c>
      <c r="N63" s="160">
        <f>H63-K63</f>
        <v>113.2188981282423</v>
      </c>
      <c r="O63" s="159">
        <f>J63-G63</f>
        <v>9.6168980999999987E-2</v>
      </c>
      <c r="P63" s="159">
        <f>G63-I63</f>
        <v>9.6168980999999987E-2</v>
      </c>
      <c r="Q63" s="71"/>
      <c r="R63" s="161">
        <f>G63*1000</f>
        <v>320.56326999999999</v>
      </c>
      <c r="S63" s="161">
        <f t="shared" ref="S63:T66" si="21">O63*1000</f>
        <v>96.168980999999988</v>
      </c>
      <c r="T63" s="161">
        <f t="shared" si="21"/>
        <v>96.168980999999988</v>
      </c>
    </row>
    <row r="64" spans="1:20">
      <c r="A64" s="71" t="s">
        <v>642</v>
      </c>
      <c r="B64" s="65" t="s">
        <v>456</v>
      </c>
      <c r="C64" s="66" t="s">
        <v>31</v>
      </c>
      <c r="D64" s="191" t="s">
        <v>199</v>
      </c>
      <c r="E64" s="112" t="s">
        <v>531</v>
      </c>
      <c r="F64" s="232" t="s">
        <v>484</v>
      </c>
      <c r="G64" s="69">
        <v>775.54660000000001</v>
      </c>
      <c r="H64" s="70">
        <v>507526.39109325997</v>
      </c>
      <c r="I64" s="197">
        <v>542.88262000000009</v>
      </c>
      <c r="J64" s="197">
        <v>1008.2105799999999</v>
      </c>
      <c r="K64" s="198">
        <v>355268.47376528196</v>
      </c>
      <c r="L64" s="198">
        <v>659784.30842123798</v>
      </c>
      <c r="M64" s="160">
        <f>L64-H64</f>
        <v>152257.91732797801</v>
      </c>
      <c r="N64" s="160">
        <f>H64-K64</f>
        <v>152257.91732797801</v>
      </c>
      <c r="O64" s="159">
        <f>J64-G64</f>
        <v>232.66397999999992</v>
      </c>
      <c r="P64" s="159">
        <f>G64-I64</f>
        <v>232.66397999999992</v>
      </c>
      <c r="Q64" s="71"/>
      <c r="R64" s="161">
        <f>G64*1000</f>
        <v>775546.6</v>
      </c>
      <c r="S64" s="161">
        <f t="shared" si="21"/>
        <v>232663.97999999992</v>
      </c>
      <c r="T64" s="161">
        <f t="shared" si="21"/>
        <v>232663.97999999992</v>
      </c>
    </row>
    <row r="65" spans="1:28">
      <c r="A65" s="71" t="s">
        <v>642</v>
      </c>
      <c r="B65" s="65" t="s">
        <v>456</v>
      </c>
      <c r="C65" s="66" t="s">
        <v>2</v>
      </c>
      <c r="D65" s="191" t="s">
        <v>201</v>
      </c>
      <c r="E65" s="112" t="s">
        <v>522</v>
      </c>
      <c r="F65" s="232" t="s">
        <v>479</v>
      </c>
      <c r="G65" s="69">
        <v>679.59412999999995</v>
      </c>
      <c r="H65" s="70">
        <v>800080.21498625923</v>
      </c>
      <c r="I65" s="197">
        <v>543.67530399999998</v>
      </c>
      <c r="J65" s="197">
        <v>815.51295599999992</v>
      </c>
      <c r="K65" s="198">
        <v>640064.17198900739</v>
      </c>
      <c r="L65" s="198">
        <v>960096.25798351108</v>
      </c>
      <c r="M65" s="160">
        <f>L65-H65</f>
        <v>160016.04299725185</v>
      </c>
      <c r="N65" s="160">
        <f>H65-K65</f>
        <v>160016.04299725185</v>
      </c>
      <c r="O65" s="159">
        <f>J65-G65</f>
        <v>135.91882599999997</v>
      </c>
      <c r="P65" s="159">
        <f>G65-I65</f>
        <v>135.91882599999997</v>
      </c>
      <c r="Q65" s="71"/>
      <c r="R65" s="161">
        <f>G65*1000</f>
        <v>679594.13</v>
      </c>
      <c r="S65" s="161">
        <f t="shared" si="21"/>
        <v>135918.82599999997</v>
      </c>
      <c r="T65" s="161">
        <f t="shared" si="21"/>
        <v>135918.82599999997</v>
      </c>
    </row>
    <row r="66" spans="1:28" ht="15" thickBot="1">
      <c r="A66" s="71" t="s">
        <v>642</v>
      </c>
      <c r="B66" s="73" t="s">
        <v>456</v>
      </c>
      <c r="C66" s="74" t="s">
        <v>34</v>
      </c>
      <c r="D66" s="192" t="s">
        <v>199</v>
      </c>
      <c r="E66" s="116" t="s">
        <v>530</v>
      </c>
      <c r="F66" s="232" t="s">
        <v>483</v>
      </c>
      <c r="G66" s="77">
        <v>4285.6630999999998</v>
      </c>
      <c r="H66" s="78">
        <v>2506405.3195711151</v>
      </c>
      <c r="I66" s="197">
        <v>2999.9641700000002</v>
      </c>
      <c r="J66" s="197">
        <v>5571.3620299999993</v>
      </c>
      <c r="K66" s="198">
        <v>1754483.7236997806</v>
      </c>
      <c r="L66" s="198">
        <v>3258326.9154424495</v>
      </c>
      <c r="M66" s="160">
        <f>L66-H66</f>
        <v>751921.59587133443</v>
      </c>
      <c r="N66" s="160">
        <f>H66-K66</f>
        <v>751921.59587133443</v>
      </c>
      <c r="O66" s="159">
        <f>J66-G66</f>
        <v>1285.6989299999996</v>
      </c>
      <c r="P66" s="159">
        <f>G66-I66</f>
        <v>1285.6989299999996</v>
      </c>
      <c r="Q66" s="71"/>
      <c r="R66" s="161">
        <f>G66*1000</f>
        <v>4285663.0999999996</v>
      </c>
      <c r="S66" s="161">
        <f t="shared" si="21"/>
        <v>1285698.9299999995</v>
      </c>
      <c r="T66" s="161">
        <f t="shared" si="21"/>
        <v>1285698.9299999995</v>
      </c>
    </row>
    <row r="72" spans="1:28">
      <c r="U72" s="51" t="s">
        <v>659</v>
      </c>
      <c r="V72" s="71"/>
      <c r="W72" s="71"/>
      <c r="X72" s="134"/>
      <c r="Y72" s="134"/>
      <c r="Z72" s="134"/>
      <c r="AB72" s="51" t="s">
        <v>674</v>
      </c>
    </row>
    <row r="73" spans="1:28">
      <c r="U73" s="199" t="s">
        <v>660</v>
      </c>
      <c r="V73" s="199" t="s">
        <v>661</v>
      </c>
      <c r="W73" s="200" t="s">
        <v>662</v>
      </c>
      <c r="X73" s="201">
        <v>193.34399999999999</v>
      </c>
      <c r="Y73" s="202">
        <v>636</v>
      </c>
      <c r="Z73" s="203">
        <v>0.30399999999999999</v>
      </c>
      <c r="AA73" s="204" t="s">
        <v>663</v>
      </c>
      <c r="AB73" s="205">
        <v>20.586282301752316</v>
      </c>
    </row>
    <row r="74" spans="1:28">
      <c r="U74" s="199" t="s">
        <v>664</v>
      </c>
      <c r="V74" s="199" t="s">
        <v>665</v>
      </c>
      <c r="W74" s="200" t="s">
        <v>666</v>
      </c>
      <c r="X74" s="201">
        <v>124.976</v>
      </c>
      <c r="Y74" s="201">
        <v>292</v>
      </c>
      <c r="Z74" s="203">
        <v>0.42799999999999999</v>
      </c>
      <c r="AA74" s="204" t="s">
        <v>663</v>
      </c>
      <c r="AB74" s="205">
        <v>62.686596856596466</v>
      </c>
    </row>
    <row r="75" spans="1:28">
      <c r="U75" s="206" t="s">
        <v>667</v>
      </c>
      <c r="V75" s="206" t="s">
        <v>665</v>
      </c>
      <c r="W75" s="200" t="s">
        <v>668</v>
      </c>
      <c r="X75" s="201">
        <v>235.45000000000002</v>
      </c>
      <c r="Y75" s="202">
        <v>425</v>
      </c>
      <c r="Z75" s="203">
        <v>0.55400000000000005</v>
      </c>
      <c r="AA75" s="204" t="s">
        <v>663</v>
      </c>
      <c r="AB75" s="205">
        <v>53.347815338925464</v>
      </c>
    </row>
    <row r="76" spans="1:28">
      <c r="U76" s="51" t="s">
        <v>670</v>
      </c>
      <c r="V76" s="71" t="s">
        <v>671</v>
      </c>
      <c r="W76" s="207" t="s">
        <v>669</v>
      </c>
      <c r="X76" s="201">
        <v>92.353999999999999</v>
      </c>
      <c r="Y76" s="201">
        <v>122</v>
      </c>
      <c r="Z76" s="208">
        <v>0.75700000000000001</v>
      </c>
      <c r="AA76" s="204" t="s">
        <v>663</v>
      </c>
      <c r="AB76" s="205">
        <v>178.9955677027543</v>
      </c>
    </row>
    <row r="77" spans="1:28">
      <c r="V77" s="71"/>
      <c r="W77" s="71"/>
      <c r="X77" s="134"/>
      <c r="Y77" s="134"/>
      <c r="Z77" s="134"/>
      <c r="AA77" s="134"/>
    </row>
    <row r="78" spans="1:28">
      <c r="V78" s="71"/>
      <c r="W78" s="71"/>
      <c r="X78" s="134"/>
      <c r="Y78" s="134"/>
      <c r="Z78" s="134"/>
      <c r="AA78" s="134"/>
    </row>
    <row r="79" spans="1:28">
      <c r="U79" s="51" t="s">
        <v>673</v>
      </c>
      <c r="V79" s="71"/>
      <c r="W79" s="207"/>
      <c r="X79" s="201"/>
      <c r="Y79" s="201"/>
      <c r="Z79" s="208"/>
      <c r="AA79" s="204"/>
      <c r="AB79" s="205">
        <v>89.29</v>
      </c>
    </row>
    <row r="80" spans="1:28">
      <c r="U80" s="134"/>
      <c r="V80" s="134"/>
      <c r="W80" s="134"/>
      <c r="X80" s="134"/>
    </row>
    <row r="115" spans="3:12" ht="15" thickBot="1">
      <c r="J115" s="226"/>
    </row>
    <row r="116" spans="3:12">
      <c r="C116" s="259"/>
      <c r="D116" s="260"/>
      <c r="E116" s="261"/>
      <c r="F116" s="261"/>
      <c r="G116" s="276"/>
      <c r="H116" s="262" t="s">
        <v>715</v>
      </c>
      <c r="I116" s="277">
        <v>8570000</v>
      </c>
      <c r="J116" s="226"/>
    </row>
    <row r="117" spans="3:12">
      <c r="C117" s="263"/>
      <c r="D117" s="264"/>
      <c r="E117" s="265"/>
      <c r="F117" s="265"/>
      <c r="G117" s="273"/>
      <c r="H117" s="80" t="s">
        <v>716</v>
      </c>
      <c r="I117" s="278">
        <f>'Limites pour etre durable'!B10</f>
        <v>23400000</v>
      </c>
      <c r="J117" s="226"/>
    </row>
    <row r="118" spans="3:12">
      <c r="C118" s="263" t="s">
        <v>647</v>
      </c>
      <c r="D118" s="264"/>
      <c r="E118" s="265"/>
      <c r="F118" s="265"/>
      <c r="G118" s="274" t="s">
        <v>701</v>
      </c>
      <c r="H118" s="266" t="s">
        <v>641</v>
      </c>
      <c r="I118" s="279" t="s">
        <v>730</v>
      </c>
      <c r="J118" s="226"/>
    </row>
    <row r="119" spans="3:12">
      <c r="C119" s="267" t="s">
        <v>706</v>
      </c>
      <c r="D119" s="264"/>
      <c r="E119" s="265"/>
      <c r="F119" s="265"/>
      <c r="G119" s="275">
        <v>775.21687262399996</v>
      </c>
      <c r="H119" s="268">
        <v>507066.03830101131</v>
      </c>
      <c r="I119" s="280">
        <f>H119*I$116/I$117</f>
        <v>185707.51915554132</v>
      </c>
      <c r="J119" s="226"/>
    </row>
    <row r="120" spans="3:12">
      <c r="C120" s="267" t="s">
        <v>713</v>
      </c>
      <c r="D120" s="264"/>
      <c r="E120" s="265"/>
      <c r="F120" s="265"/>
      <c r="G120" s="275">
        <f>1599.983092*1800/4000</f>
        <v>719.99239139999997</v>
      </c>
      <c r="H120" s="268">
        <f>1075137.44300017*1800/4000</f>
        <v>483811.84935007652</v>
      </c>
      <c r="I120" s="281">
        <f>H120*I$116/I$117</f>
        <v>177190.92089445109</v>
      </c>
      <c r="K120" s="224">
        <f>4000/2.23</f>
        <v>1793.7219730941704</v>
      </c>
      <c r="L120" s="225" t="s">
        <v>708</v>
      </c>
    </row>
    <row r="121" spans="3:12">
      <c r="C121" s="267" t="s">
        <v>707</v>
      </c>
      <c r="D121" s="264"/>
      <c r="E121" s="265"/>
      <c r="F121" s="265"/>
      <c r="G121" s="275">
        <f>35.3333333333333*7/5</f>
        <v>49.466666666666619</v>
      </c>
      <c r="H121" s="268">
        <f>116636.833333333*7/5</f>
        <v>163291.56666666619</v>
      </c>
      <c r="I121" s="281">
        <f>H121*I$116/I$117</f>
        <v>59803.791723646544</v>
      </c>
      <c r="J121" s="226"/>
    </row>
    <row r="122" spans="3:12">
      <c r="C122" s="267" t="s">
        <v>725</v>
      </c>
      <c r="D122" s="264"/>
      <c r="E122" s="265"/>
      <c r="F122" s="265"/>
      <c r="G122" s="275">
        <f>1536.725331744/12</f>
        <v>128.06044431199999</v>
      </c>
      <c r="H122" s="268">
        <f>1808740.25329839/12</f>
        <v>150728.35444153249</v>
      </c>
      <c r="I122" s="281">
        <f>H122*I$116/I$117</f>
        <v>55202.649468544158</v>
      </c>
      <c r="J122" s="226"/>
    </row>
    <row r="123" spans="3:12">
      <c r="C123" s="267" t="s">
        <v>714</v>
      </c>
      <c r="D123" s="264"/>
      <c r="E123" s="265"/>
      <c r="F123" s="265"/>
      <c r="G123" s="275">
        <f>103.5566023/2</f>
        <v>51.778301149999997</v>
      </c>
      <c r="H123" s="268">
        <f>116309.692989095/2</f>
        <v>58154.846494547499</v>
      </c>
      <c r="I123" s="281">
        <f>H123*I$116/I$117</f>
        <v>21298.591216165474</v>
      </c>
      <c r="J123" s="226"/>
    </row>
    <row r="124" spans="3:12">
      <c r="C124" s="267" t="s">
        <v>722</v>
      </c>
      <c r="D124" s="264"/>
      <c r="E124" s="265"/>
      <c r="F124" s="265"/>
      <c r="G124" s="275">
        <f>2.75*10</f>
        <v>27.5</v>
      </c>
      <c r="H124" s="268">
        <f>3101.58916576697*10</f>
        <v>31015.891657669701</v>
      </c>
      <c r="I124" s="281">
        <f>H124*I$116/I$117</f>
        <v>11359.238953257664</v>
      </c>
      <c r="J124" s="226"/>
    </row>
    <row r="125" spans="3:12">
      <c r="C125" s="267" t="s">
        <v>645</v>
      </c>
      <c r="D125" s="264"/>
      <c r="E125" s="265"/>
      <c r="F125" s="265"/>
      <c r="G125" s="275">
        <v>14.946189829333333</v>
      </c>
      <c r="H125" s="268">
        <v>30257.701145759478</v>
      </c>
      <c r="I125" s="281">
        <f>H125*I$116/I$117</f>
        <v>11081.559778596527</v>
      </c>
      <c r="J125" s="226"/>
    </row>
    <row r="126" spans="3:12">
      <c r="C126" s="267" t="s">
        <v>717</v>
      </c>
      <c r="D126" s="264"/>
      <c r="E126" s="265"/>
      <c r="F126" s="265"/>
      <c r="G126" s="275">
        <v>19.039304177999998</v>
      </c>
      <c r="H126" s="268">
        <v>19481.119109042858</v>
      </c>
      <c r="I126" s="281">
        <f>H126*I$116/I$117</f>
        <v>7134.7517420725335</v>
      </c>
      <c r="J126" s="226"/>
    </row>
    <row r="127" spans="3:12">
      <c r="C127" s="267" t="s">
        <v>703</v>
      </c>
      <c r="D127" s="264"/>
      <c r="E127" s="265"/>
      <c r="F127" s="265"/>
      <c r="G127" s="275">
        <v>17.057427999999998</v>
      </c>
      <c r="H127" s="268">
        <v>17658.465883232315</v>
      </c>
      <c r="I127" s="281">
        <f>H127*I$116/I$117</f>
        <v>6467.2244709102961</v>
      </c>
      <c r="J127" s="226"/>
    </row>
    <row r="128" spans="3:12">
      <c r="C128" s="267" t="s">
        <v>702</v>
      </c>
      <c r="D128" s="264"/>
      <c r="E128" s="265"/>
      <c r="F128" s="265"/>
      <c r="G128" s="275">
        <v>13.138423</v>
      </c>
      <c r="H128" s="268">
        <v>15361.171965251157</v>
      </c>
      <c r="I128" s="281">
        <f>H128*I$116/I$117</f>
        <v>5625.8651171881374</v>
      </c>
      <c r="J128" s="226"/>
    </row>
    <row r="129" spans="3:10">
      <c r="C129" s="267" t="s">
        <v>723</v>
      </c>
      <c r="D129" s="264"/>
      <c r="E129" s="265"/>
      <c r="F129" s="265"/>
      <c r="G129" s="275">
        <v>10.545</v>
      </c>
      <c r="H129" s="268">
        <v>11925.649612821006</v>
      </c>
      <c r="I129" s="281">
        <f>H129*I$116/I$117</f>
        <v>4367.641759909232</v>
      </c>
      <c r="J129" s="227" t="s">
        <v>733</v>
      </c>
    </row>
    <row r="130" spans="3:10">
      <c r="C130" s="267"/>
      <c r="D130" s="264"/>
      <c r="E130" s="265"/>
      <c r="F130" s="265"/>
      <c r="G130" s="275"/>
      <c r="H130" s="268"/>
      <c r="I130" s="281"/>
      <c r="J130" s="226"/>
    </row>
    <row r="131" spans="3:10">
      <c r="C131" s="267" t="s">
        <v>709</v>
      </c>
      <c r="D131" s="264"/>
      <c r="E131" s="265"/>
      <c r="F131" s="265"/>
      <c r="G131" s="275">
        <v>641.12654000000009</v>
      </c>
      <c r="H131" s="268">
        <v>754792.65418828221</v>
      </c>
      <c r="I131" s="281">
        <f>H131*I$116/I$117</f>
        <v>276434.74557237513</v>
      </c>
      <c r="J131" s="226"/>
    </row>
    <row r="132" spans="3:10">
      <c r="C132" s="267" t="s">
        <v>710</v>
      </c>
      <c r="D132" s="264"/>
      <c r="E132" s="265"/>
      <c r="F132" s="265"/>
      <c r="G132" s="275">
        <f>G131</f>
        <v>641.12654000000009</v>
      </c>
      <c r="H132" s="268">
        <f>H131</f>
        <v>754792.65418828221</v>
      </c>
      <c r="I132" s="281">
        <f>H132*I$116/I$117</f>
        <v>276434.74557237513</v>
      </c>
      <c r="J132" s="226"/>
    </row>
    <row r="133" spans="3:10">
      <c r="C133" s="267" t="s">
        <v>704</v>
      </c>
      <c r="D133" s="264"/>
      <c r="E133" s="265"/>
      <c r="F133" s="265"/>
      <c r="G133" s="275">
        <v>370.89959399999998</v>
      </c>
      <c r="H133" s="268">
        <v>707041.85551195324</v>
      </c>
      <c r="I133" s="281">
        <f>H133*I$116/I$117</f>
        <v>258946.5257152752</v>
      </c>
      <c r="J133" s="226"/>
    </row>
    <row r="134" spans="3:10">
      <c r="C134" s="267" t="s">
        <v>732</v>
      </c>
      <c r="D134" s="264"/>
      <c r="E134" s="265"/>
      <c r="F134" s="265"/>
      <c r="G134" s="275">
        <f>1179.6728336/4</f>
        <v>294.91820840000003</v>
      </c>
      <c r="H134" s="268">
        <f>1388818.48370644/4</f>
        <v>347204.62092661002</v>
      </c>
      <c r="I134" s="281">
        <f>H134*I$116/I$117</f>
        <v>127159.98296329264</v>
      </c>
    </row>
    <row r="135" spans="3:10">
      <c r="C135" s="267" t="s">
        <v>695</v>
      </c>
      <c r="D135" s="264"/>
      <c r="E135" s="265"/>
      <c r="F135" s="265"/>
      <c r="G135" s="275">
        <v>46.172784700000001</v>
      </c>
      <c r="H135" s="268">
        <v>144424.65413855371</v>
      </c>
      <c r="I135" s="281">
        <f>H135*I$116/I$117</f>
        <v>52893.986579803641</v>
      </c>
      <c r="J135" s="226"/>
    </row>
    <row r="136" spans="3:10" ht="15" thickBot="1">
      <c r="C136" s="269" t="s">
        <v>705</v>
      </c>
      <c r="D136" s="270"/>
      <c r="E136" s="271"/>
      <c r="F136" s="271"/>
      <c r="G136" s="282">
        <v>11.108746</v>
      </c>
      <c r="H136" s="272">
        <v>22280.253898076549</v>
      </c>
      <c r="I136" s="283">
        <f>H136*I$116/I$117</f>
        <v>8159.9049532699155</v>
      </c>
      <c r="J136" s="226"/>
    </row>
    <row r="137" spans="3:10" ht="15" thickBot="1">
      <c r="C137" s="284" t="s">
        <v>727</v>
      </c>
      <c r="D137" s="285"/>
      <c r="E137" s="286"/>
      <c r="F137" s="286"/>
      <c r="G137" s="287">
        <f>G131*100/(200*10)</f>
        <v>32.056327000000003</v>
      </c>
      <c r="H137" s="287">
        <f>H131*100/(200*10)</f>
        <v>37739.632709414109</v>
      </c>
      <c r="I137" s="288"/>
      <c r="J137" s="226"/>
    </row>
    <row r="138" spans="3:10" ht="15" thickBot="1">
      <c r="C138" s="284" t="s">
        <v>729</v>
      </c>
      <c r="D138" s="285"/>
      <c r="E138" s="286"/>
      <c r="F138" s="286"/>
      <c r="G138" s="289">
        <f>G131/(200*10)</f>
        <v>0.32056327000000007</v>
      </c>
      <c r="H138" s="287">
        <f>H131/(200*10)</f>
        <v>377.3963270941411</v>
      </c>
      <c r="I138" s="288"/>
      <c r="J138" s="226"/>
    </row>
    <row r="139" spans="3:10" ht="15" thickBot="1">
      <c r="C139" s="284" t="s">
        <v>731</v>
      </c>
      <c r="D139" s="285"/>
      <c r="E139" s="286"/>
      <c r="F139" s="286"/>
      <c r="G139" s="287">
        <f>G135</f>
        <v>46.172784700000001</v>
      </c>
      <c r="H139" s="287">
        <f>H135</f>
        <v>144424.65413855371</v>
      </c>
      <c r="I139" s="288"/>
      <c r="J139" s="226"/>
    </row>
    <row r="140" spans="3:10" ht="15" thickBot="1">
      <c r="C140" s="284" t="s">
        <v>728</v>
      </c>
      <c r="D140" s="285"/>
      <c r="E140" s="286"/>
      <c r="F140" s="286"/>
      <c r="G140" s="287">
        <f>G135/365</f>
        <v>0.12650078000000001</v>
      </c>
      <c r="H140" s="287">
        <f>H135/365</f>
        <v>395.68398394124307</v>
      </c>
      <c r="I140" s="288"/>
      <c r="J140" s="226"/>
    </row>
    <row r="141" spans="3:10">
      <c r="C141" s="71"/>
      <c r="G141" s="223"/>
      <c r="H141" s="161"/>
      <c r="I141" s="226"/>
      <c r="J141" s="226"/>
    </row>
    <row r="142" spans="3:10">
      <c r="C142" s="71" t="s">
        <v>658</v>
      </c>
      <c r="G142" s="223"/>
      <c r="H142" s="161">
        <v>448767.12328767125</v>
      </c>
      <c r="I142" s="226"/>
      <c r="J142" s="226"/>
    </row>
    <row r="143" spans="3:10">
      <c r="C143" s="71" t="s">
        <v>657</v>
      </c>
      <c r="G143" s="223"/>
      <c r="H143" s="161">
        <v>149589.0410958904</v>
      </c>
      <c r="I143" s="226"/>
      <c r="J143" s="226"/>
    </row>
    <row r="144" spans="3:10">
      <c r="C144" s="71" t="s">
        <v>724</v>
      </c>
      <c r="H144" s="161">
        <f>'Limites pour etre durable'!C10</f>
        <v>7800000</v>
      </c>
      <c r="I144" s="226"/>
      <c r="J144" s="226"/>
    </row>
    <row r="145" spans="3:10">
      <c r="C145" s="71" t="s">
        <v>657</v>
      </c>
      <c r="H145" s="161">
        <f>'Limites pour etre durable'!B10</f>
        <v>23400000</v>
      </c>
      <c r="I145" s="226"/>
      <c r="J145" s="226"/>
    </row>
    <row r="146" spans="3:10">
      <c r="I146" s="226"/>
      <c r="J146" s="226"/>
    </row>
    <row r="147" spans="3:10">
      <c r="C147" s="51"/>
      <c r="D147" s="51"/>
      <c r="G147" s="51"/>
      <c r="H147" s="51"/>
      <c r="I147" s="51"/>
      <c r="J147" s="226"/>
    </row>
    <row r="148" spans="3:10">
      <c r="I148" s="226"/>
      <c r="J148" s="226"/>
    </row>
    <row r="149" spans="3:10">
      <c r="I149" s="226"/>
      <c r="J149" s="226"/>
    </row>
    <row r="150" spans="3:10">
      <c r="C150" s="79" t="s">
        <v>726</v>
      </c>
      <c r="E150" s="189"/>
      <c r="F150" s="189" t="s">
        <v>690</v>
      </c>
      <c r="G150" s="51" t="s">
        <v>641</v>
      </c>
      <c r="H150" s="221" t="s">
        <v>689</v>
      </c>
    </row>
    <row r="151" spans="3:10">
      <c r="C151" s="71" t="s">
        <v>675</v>
      </c>
      <c r="E151" s="189"/>
      <c r="F151" s="255">
        <f>'Sous-datasets et Notes'!E33/6</f>
        <v>35.333333333333336</v>
      </c>
      <c r="G151" s="256">
        <f>'Sous-datasets et Notes'!F33/6</f>
        <v>116636.83333333333</v>
      </c>
      <c r="H151" s="71" t="s">
        <v>711</v>
      </c>
    </row>
    <row r="152" spans="3:10">
      <c r="C152" s="71" t="s">
        <v>645</v>
      </c>
      <c r="E152" s="189"/>
      <c r="F152" s="255">
        <f>('Sous-datasets et Notes'!E13+'Sous-datasets et Notes'!E14)/3</f>
        <v>14.946189829333333</v>
      </c>
      <c r="G152" s="255">
        <f>('Sous-datasets et Notes'!F13+'Sous-datasets et Notes'!F14)/3</f>
        <v>30257.701145759478</v>
      </c>
      <c r="H152" s="71" t="s">
        <v>712</v>
      </c>
    </row>
    <row r="153" spans="3:10">
      <c r="C153" s="71" t="s">
        <v>677</v>
      </c>
      <c r="D153" s="51"/>
      <c r="F153" s="255">
        <f>12*2*(2*100*G63-G18)</f>
        <v>1536.7253317440002</v>
      </c>
      <c r="G153" s="255">
        <f>12*2*(2*100*H63-H18)</f>
        <v>1808740.2532983853</v>
      </c>
      <c r="H153" s="71" t="s">
        <v>648</v>
      </c>
    </row>
    <row r="154" spans="3:10">
      <c r="C154" s="71" t="s">
        <v>678</v>
      </c>
      <c r="D154" s="51"/>
      <c r="F154" s="255">
        <f>G64-4*G18</f>
        <v>775.21687262399996</v>
      </c>
      <c r="G154" s="255">
        <f>H64-4*H18</f>
        <v>507066.03830101131</v>
      </c>
      <c r="H154" s="71" t="s">
        <v>672</v>
      </c>
    </row>
    <row r="155" spans="3:10">
      <c r="C155" s="71" t="s">
        <v>688</v>
      </c>
      <c r="E155" s="189"/>
      <c r="F155" s="255">
        <f>4000*('Sous-datasets et Notes'!E34-'Sous-datasets et Notes'!E35)</f>
        <v>1599.9830919999999</v>
      </c>
      <c r="G155" s="255">
        <f>4000*('Sous-datasets et Notes'!F34-'Sous-datasets et Notes'!F35)</f>
        <v>1075137.4430001695</v>
      </c>
      <c r="H155" s="71" t="s">
        <v>649</v>
      </c>
    </row>
    <row r="156" spans="3:10">
      <c r="C156" s="71" t="s">
        <v>646</v>
      </c>
      <c r="E156" s="189"/>
      <c r="F156" s="255">
        <f>365*6*G14</f>
        <v>19.039304177999998</v>
      </c>
      <c r="G156" s="255">
        <f>365*6*H14</f>
        <v>19481.119109042858</v>
      </c>
    </row>
    <row r="157" spans="3:10">
      <c r="C157" s="71" t="s">
        <v>679</v>
      </c>
      <c r="F157" s="256">
        <f>(G54-G50)*100</f>
        <v>13.138423</v>
      </c>
      <c r="G157" s="256">
        <f>(H54-H50)*100</f>
        <v>15361.171965251157</v>
      </c>
    </row>
    <row r="158" spans="3:10">
      <c r="C158" s="71" t="s">
        <v>682</v>
      </c>
      <c r="F158" s="255">
        <f>100*(G55-G50)</f>
        <v>17.057427999999998</v>
      </c>
      <c r="G158" s="255">
        <f>100*(H55-H50)</f>
        <v>17658.465883232315</v>
      </c>
    </row>
    <row r="159" spans="3:10">
      <c r="C159" s="71" t="s">
        <v>691</v>
      </c>
      <c r="F159" s="255">
        <f>G10</f>
        <v>2.75</v>
      </c>
      <c r="G159" s="255">
        <f>H10</f>
        <v>3101.5891657669667</v>
      </c>
    </row>
    <row r="160" spans="3:10">
      <c r="C160" s="71" t="s">
        <v>692</v>
      </c>
      <c r="F160" s="255">
        <f>G9*5</f>
        <v>10.545</v>
      </c>
      <c r="G160" s="255">
        <f>H9*5</f>
        <v>11925.649612821006</v>
      </c>
    </row>
    <row r="161" spans="3:8">
      <c r="C161" s="71" t="s">
        <v>693</v>
      </c>
      <c r="F161" s="255">
        <f>10*(G9-G7)*5</f>
        <v>103.55660229999998</v>
      </c>
      <c r="G161" s="255">
        <f>10*(H9-H7)*5</f>
        <v>116309.6929890946</v>
      </c>
    </row>
    <row r="162" spans="3:8">
      <c r="C162" s="71" t="s">
        <v>650</v>
      </c>
      <c r="F162" s="257"/>
      <c r="G162" s="258"/>
    </row>
    <row r="163" spans="3:8">
      <c r="C163" s="71"/>
      <c r="F163" s="257"/>
      <c r="G163" s="258"/>
    </row>
    <row r="164" spans="3:8">
      <c r="C164" s="71" t="s">
        <v>694</v>
      </c>
      <c r="F164" s="256">
        <f>G32/2*52</f>
        <v>370.89959399999998</v>
      </c>
      <c r="G164" s="256">
        <f>H32/2*52</f>
        <v>707041.85551195324</v>
      </c>
      <c r="H164" s="71" t="s">
        <v>651</v>
      </c>
    </row>
    <row r="165" spans="3:8">
      <c r="C165" s="71" t="s">
        <v>695</v>
      </c>
      <c r="F165" s="256">
        <f>G28*365</f>
        <v>46.172784700000001</v>
      </c>
      <c r="G165" s="256">
        <f>H28*365</f>
        <v>144424.65413855371</v>
      </c>
    </row>
    <row r="166" spans="3:8">
      <c r="C166" s="71" t="s">
        <v>696</v>
      </c>
      <c r="F166" s="256">
        <f>G63*5*2*200</f>
        <v>641.12654000000009</v>
      </c>
      <c r="G166" s="256">
        <f>H63*5*2*200</f>
        <v>754792.65418828221</v>
      </c>
    </row>
    <row r="167" spans="3:8">
      <c r="C167" s="71" t="s">
        <v>697</v>
      </c>
      <c r="E167" s="189"/>
      <c r="F167" s="256">
        <f>(G30+G31)/2</f>
        <v>11.108746</v>
      </c>
      <c r="G167" s="256">
        <f>(H30+H31)/2</f>
        <v>22280.253898076549</v>
      </c>
    </row>
    <row r="168" spans="3:8">
      <c r="C168" s="222" t="s">
        <v>700</v>
      </c>
      <c r="E168" s="189"/>
      <c r="F168" s="255">
        <f>2*40*46*G63</f>
        <v>1179.6728336000001</v>
      </c>
      <c r="G168" s="255">
        <f>2*40*46*H63</f>
        <v>1388818.4837064391</v>
      </c>
    </row>
    <row r="169" spans="3:8">
      <c r="C169" s="71" t="s">
        <v>657</v>
      </c>
      <c r="E169" s="189"/>
      <c r="F169" s="257"/>
      <c r="G169" s="256">
        <f>'Limites pour etre durable'!E10*7</f>
        <v>149589.0410958904</v>
      </c>
    </row>
    <row r="170" spans="3:8">
      <c r="C170" s="71" t="s">
        <v>658</v>
      </c>
      <c r="E170" s="189"/>
      <c r="F170" s="257"/>
      <c r="G170" s="256">
        <f>'Limites pour etre durable'!D10*7</f>
        <v>448767.12328767125</v>
      </c>
      <c r="H170" s="134"/>
    </row>
    <row r="175" spans="3:8">
      <c r="C175" s="252"/>
      <c r="D175" s="248"/>
      <c r="E175" s="248"/>
      <c r="F175" s="248"/>
      <c r="G175" s="248"/>
      <c r="H175" s="248"/>
    </row>
    <row r="176" spans="3:8">
      <c r="C176" s="248"/>
      <c r="D176" s="248"/>
      <c r="E176" s="248"/>
      <c r="F176" s="248"/>
      <c r="G176" s="248"/>
      <c r="H176" s="253"/>
    </row>
    <row r="177" spans="3:8">
      <c r="C177" s="248"/>
      <c r="D177" s="248"/>
      <c r="E177" s="248"/>
      <c r="F177" s="248"/>
      <c r="G177" s="248"/>
      <c r="H177" s="253"/>
    </row>
    <row r="178" spans="3:8">
      <c r="C178" s="248"/>
      <c r="D178" s="248"/>
      <c r="E178" s="248"/>
      <c r="F178" s="248"/>
      <c r="G178" s="248"/>
      <c r="H178" s="253"/>
    </row>
    <row r="179" spans="3:8">
      <c r="C179" s="254"/>
      <c r="D179" s="248"/>
      <c r="E179" s="248"/>
      <c r="F179" s="248"/>
      <c r="G179" s="248"/>
      <c r="H179" s="253"/>
    </row>
    <row r="180" spans="3:8">
      <c r="C180" s="248"/>
      <c r="D180" s="248"/>
      <c r="E180" s="248"/>
      <c r="F180" s="248"/>
      <c r="G180" s="248"/>
      <c r="H180" s="253"/>
    </row>
    <row r="181" spans="3:8">
      <c r="C181" s="248"/>
      <c r="D181" s="248"/>
      <c r="E181" s="248"/>
      <c r="F181" s="248"/>
      <c r="G181" s="248"/>
      <c r="H181" s="253"/>
    </row>
    <row r="182" spans="3:8">
      <c r="C182" s="248"/>
      <c r="D182" s="248"/>
      <c r="E182" s="248"/>
      <c r="F182" s="248"/>
      <c r="G182" s="248"/>
      <c r="H182" s="248"/>
    </row>
    <row r="183" spans="3:8">
      <c r="C183" s="248"/>
      <c r="D183" s="248"/>
      <c r="E183" s="248"/>
      <c r="F183" s="248"/>
      <c r="G183" s="248"/>
      <c r="H183" s="248"/>
    </row>
    <row r="184" spans="3:8">
      <c r="C184" s="248"/>
      <c r="D184" s="248"/>
      <c r="E184" s="248"/>
      <c r="F184" s="248"/>
      <c r="G184" s="248"/>
      <c r="H184" s="248"/>
    </row>
    <row r="185" spans="3:8">
      <c r="C185" s="248"/>
      <c r="D185" s="248"/>
      <c r="E185" s="248"/>
      <c r="F185" s="248"/>
      <c r="G185" s="248"/>
      <c r="H185" s="248"/>
    </row>
    <row r="186" spans="3:8">
      <c r="C186" s="248"/>
      <c r="D186" s="248"/>
      <c r="E186" s="248"/>
      <c r="F186" s="248"/>
      <c r="G186" s="248"/>
      <c r="H186" s="248"/>
    </row>
    <row r="187" spans="3:8">
      <c r="C187" s="248"/>
      <c r="D187" s="248"/>
      <c r="E187" s="248"/>
      <c r="F187" s="248"/>
      <c r="G187" s="248"/>
      <c r="H187" s="248"/>
    </row>
    <row r="188" spans="3:8">
      <c r="C188" s="248"/>
      <c r="D188" s="248"/>
      <c r="E188" s="248"/>
      <c r="F188" s="248"/>
      <c r="G188" s="248"/>
      <c r="H188" s="248"/>
    </row>
    <row r="189" spans="3:8">
      <c r="C189" s="248"/>
      <c r="D189" s="248"/>
      <c r="E189" s="248"/>
      <c r="F189" s="248"/>
      <c r="G189" s="248"/>
      <c r="H189" s="253"/>
    </row>
    <row r="190" spans="3:8">
      <c r="C190" s="248"/>
      <c r="D190" s="248"/>
      <c r="E190" s="248"/>
      <c r="F190" s="248"/>
      <c r="G190" s="248"/>
      <c r="H190" s="253"/>
    </row>
    <row r="191" spans="3:8">
      <c r="C191" s="248"/>
      <c r="D191" s="248"/>
      <c r="E191" s="248"/>
      <c r="F191" s="248"/>
      <c r="G191" s="248"/>
      <c r="H191" s="253"/>
    </row>
    <row r="192" spans="3:8">
      <c r="C192" s="248"/>
      <c r="D192" s="248"/>
      <c r="E192" s="248"/>
      <c r="F192" s="248"/>
      <c r="G192" s="248"/>
      <c r="H192" s="253"/>
    </row>
    <row r="193" spans="3:8">
      <c r="C193" s="248"/>
      <c r="D193" s="248"/>
      <c r="E193" s="248"/>
      <c r="F193" s="248"/>
      <c r="G193" s="248"/>
      <c r="H193" s="253"/>
    </row>
    <row r="194" spans="3:8">
      <c r="C194" s="248"/>
      <c r="D194" s="248"/>
      <c r="E194" s="248"/>
      <c r="F194" s="248"/>
      <c r="G194" s="248"/>
      <c r="H194" s="253"/>
    </row>
    <row r="195" spans="3:8">
      <c r="C195" s="248"/>
      <c r="D195" s="248"/>
      <c r="E195" s="248"/>
      <c r="F195" s="248"/>
      <c r="G195" s="248"/>
      <c r="H195" s="253"/>
    </row>
    <row r="196" spans="3:8">
      <c r="C196" s="248"/>
      <c r="D196" s="248"/>
      <c r="E196" s="248"/>
      <c r="F196" s="248"/>
      <c r="G196" s="248"/>
      <c r="H196" s="253"/>
    </row>
    <row r="197" spans="3:8">
      <c r="C197" s="248"/>
      <c r="D197" s="248"/>
      <c r="E197" s="248"/>
      <c r="F197" s="248"/>
      <c r="G197" s="248"/>
      <c r="H197" s="253"/>
    </row>
    <row r="198" spans="3:8">
      <c r="C198" s="248"/>
      <c r="D198" s="248"/>
      <c r="E198" s="248"/>
      <c r="F198" s="248"/>
      <c r="G198" s="248"/>
      <c r="H198" s="253"/>
    </row>
    <row r="199" spans="3:8">
      <c r="C199" s="248"/>
      <c r="D199" s="248"/>
      <c r="E199" s="248"/>
      <c r="F199" s="248"/>
      <c r="G199" s="248"/>
      <c r="H199" s="253"/>
    </row>
    <row r="200" spans="3:8">
      <c r="C200" s="248"/>
      <c r="D200" s="248"/>
      <c r="E200" s="248"/>
      <c r="F200" s="248"/>
      <c r="G200" s="248"/>
      <c r="H200" s="253"/>
    </row>
    <row r="201" spans="3:8">
      <c r="C201" s="248"/>
      <c r="D201" s="248"/>
      <c r="E201" s="248"/>
      <c r="F201" s="248"/>
      <c r="G201" s="248"/>
      <c r="H201" s="253"/>
    </row>
    <row r="202" spans="3:8">
      <c r="C202" s="248"/>
      <c r="D202" s="248"/>
      <c r="E202" s="248"/>
      <c r="F202" s="248"/>
      <c r="G202" s="248"/>
      <c r="H202" s="253"/>
    </row>
    <row r="203" spans="3:8">
      <c r="C203" s="248"/>
      <c r="D203" s="248"/>
      <c r="E203" s="248"/>
      <c r="F203" s="248"/>
      <c r="G203" s="248"/>
      <c r="H203" s="253"/>
    </row>
    <row r="204" spans="3:8">
      <c r="C204" s="248"/>
      <c r="D204" s="248"/>
      <c r="E204" s="248"/>
      <c r="F204" s="248"/>
      <c r="G204" s="248"/>
      <c r="H204" s="253"/>
    </row>
    <row r="205" spans="3:8">
      <c r="C205" s="248"/>
      <c r="D205" s="248"/>
      <c r="E205" s="248"/>
      <c r="F205" s="248"/>
      <c r="G205" s="248"/>
      <c r="H205" s="253"/>
    </row>
  </sheetData>
  <autoFilter ref="A2:T2"/>
  <mergeCells count="2">
    <mergeCell ref="I1:J1"/>
    <mergeCell ref="K1:L1"/>
  </mergeCells>
  <conditionalFormatting sqref="G2:H2">
    <cfRule type="dataBar" priority="11">
      <dataBar>
        <cfvo type="min"/>
        <cfvo type="max"/>
        <color rgb="FF638EC6"/>
      </dataBar>
      <extLst>
        <ext xmlns:x14="http://schemas.microsoft.com/office/spreadsheetml/2009/9/main" uri="{B025F937-C7B1-47D3-B67F-A62EFF666E3E}">
          <x14:id>{8B560A72-594D-4E47-BEC9-8FB2D8D6D2C7}</x14:id>
        </ext>
      </extLst>
    </cfRule>
  </conditionalFormatting>
  <conditionalFormatting sqref="E2:F2">
    <cfRule type="dataBar" priority="10">
      <dataBar>
        <cfvo type="min"/>
        <cfvo type="max"/>
        <color rgb="FF638EC6"/>
      </dataBar>
      <extLst>
        <ext xmlns:x14="http://schemas.microsoft.com/office/spreadsheetml/2009/9/main" uri="{B025F937-C7B1-47D3-B67F-A62EFF666E3E}">
          <x14:id>{28206C3A-C786-4E54-A3D4-1C2ABBEF9798}</x14:id>
        </ext>
      </extLst>
    </cfRule>
  </conditionalFormatting>
  <conditionalFormatting sqref="I1">
    <cfRule type="dataBar" priority="9">
      <dataBar>
        <cfvo type="min"/>
        <cfvo type="max"/>
        <color rgb="FF638EC6"/>
      </dataBar>
      <extLst>
        <ext xmlns:x14="http://schemas.microsoft.com/office/spreadsheetml/2009/9/main" uri="{B025F937-C7B1-47D3-B67F-A62EFF666E3E}">
          <x14:id>{2363A8AD-8FB0-4615-A706-2ADB31391F7F}</x14:id>
        </ext>
      </extLst>
    </cfRule>
  </conditionalFormatting>
  <conditionalFormatting sqref="K1">
    <cfRule type="dataBar" priority="8">
      <dataBar>
        <cfvo type="min"/>
        <cfvo type="max"/>
        <color rgb="FF638EC6"/>
      </dataBar>
      <extLst>
        <ext xmlns:x14="http://schemas.microsoft.com/office/spreadsheetml/2009/9/main" uri="{B025F937-C7B1-47D3-B67F-A62EFF666E3E}">
          <x14:id>{EEF066B2-A018-44F2-83AE-B438A94F7FEC}</x14:id>
        </ext>
      </extLst>
    </cfRule>
  </conditionalFormatting>
  <conditionalFormatting sqref="W73 AA73:AA75">
    <cfRule type="expression" dxfId="5" priority="7">
      <formula>MOD(ROW(),2)=0</formula>
    </cfRule>
  </conditionalFormatting>
  <conditionalFormatting sqref="W76 AA76:AB76">
    <cfRule type="expression" dxfId="4" priority="4">
      <formula>MOD(ROW(),2)=0</formula>
    </cfRule>
  </conditionalFormatting>
  <conditionalFormatting sqref="W74:W75">
    <cfRule type="expression" dxfId="3" priority="6">
      <formula>MOD(ROW(),2)=0</formula>
    </cfRule>
  </conditionalFormatting>
  <conditionalFormatting sqref="AB74:AB75">
    <cfRule type="expression" dxfId="2" priority="5">
      <formula>MOD(ROW(),2)=0</formula>
    </cfRule>
  </conditionalFormatting>
  <conditionalFormatting sqref="W79 AA79:AB79">
    <cfRule type="expression" dxfId="1" priority="2">
      <formula>MOD(ROW(),2)=0</formula>
    </cfRule>
  </conditionalFormatting>
  <conditionalFormatting sqref="AB73">
    <cfRule type="expression" dxfId="0" priority="1">
      <formula>MOD(ROW(),2)=0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8B560A72-594D-4E47-BEC9-8FB2D8D6D2C7}">
            <x14:dataBar minLength="0" maxLength="100" border="1" negativeBarBorderColorSameAsPositive="0">
              <x14:cfvo type="autoMin"/>
              <x14:cfvo type="autoMax"/>
              <x14:borderColor rgb="FF638EC6"/>
              <x14:negativeFillColor rgb="FFFF0000"/>
              <x14:negativeBorderColor rgb="FFFF0000"/>
              <x14:axisColor rgb="FF000000"/>
            </x14:dataBar>
          </x14:cfRule>
          <xm:sqref>G2:H2</xm:sqref>
        </x14:conditionalFormatting>
        <x14:conditionalFormatting xmlns:xm="http://schemas.microsoft.com/office/excel/2006/main">
          <x14:cfRule type="dataBar" id="{28206C3A-C786-4E54-A3D4-1C2ABBEF9798}">
            <x14:dataBar minLength="0" maxLength="100" border="1" negativeBarBorderColorSameAsPositive="0">
              <x14:cfvo type="autoMin"/>
              <x14:cfvo type="autoMax"/>
              <x14:borderColor rgb="FF638EC6"/>
              <x14:negativeFillColor rgb="FFFF0000"/>
              <x14:negativeBorderColor rgb="FFFF0000"/>
              <x14:axisColor rgb="FF000000"/>
            </x14:dataBar>
          </x14:cfRule>
          <xm:sqref>E2:F2</xm:sqref>
        </x14:conditionalFormatting>
        <x14:conditionalFormatting xmlns:xm="http://schemas.microsoft.com/office/excel/2006/main">
          <x14:cfRule type="dataBar" id="{2363A8AD-8FB0-4615-A706-2ADB31391F7F}">
            <x14:dataBar minLength="0" maxLength="100" border="1" negativeBarBorderColorSameAsPositive="0">
              <x14:cfvo type="autoMin"/>
              <x14:cfvo type="autoMax"/>
              <x14:borderColor rgb="FF638EC6"/>
              <x14:negativeFillColor rgb="FFFF0000"/>
              <x14:negativeBorderColor rgb="FFFF0000"/>
              <x14:axisColor rgb="FF000000"/>
            </x14:dataBar>
          </x14:cfRule>
          <xm:sqref>I1</xm:sqref>
        </x14:conditionalFormatting>
        <x14:conditionalFormatting xmlns:xm="http://schemas.microsoft.com/office/excel/2006/main">
          <x14:cfRule type="dataBar" id="{EEF066B2-A018-44F2-83AE-B438A94F7FEC}">
            <x14:dataBar minLength="0" maxLength="100" border="1" negativeBarBorderColorSameAsPositive="0">
              <x14:cfvo type="autoMin"/>
              <x14:cfvo type="autoMax"/>
              <x14:borderColor rgb="FF638EC6"/>
              <x14:negativeFillColor rgb="FFFF0000"/>
              <x14:negativeBorderColor rgb="FFFF0000"/>
              <x14:axisColor rgb="FF000000"/>
            </x14:dataBar>
          </x14:cfRule>
          <xm:sqref>K1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50" zoomScaleNormal="50" workbookViewId="0">
      <pane xSplit="4" ySplit="2" topLeftCell="E3" activePane="bottomRight" state="frozen"/>
      <selection pane="topRight" activeCell="E1" sqref="E1"/>
      <selection pane="bottomLeft" activeCell="A3" sqref="A3"/>
      <selection pane="bottomRight" activeCell="R67" sqref="R67"/>
    </sheetView>
  </sheetViews>
  <sheetFormatPr baseColWidth="10" defaultColWidth="10.6328125" defaultRowHeight="14.5"/>
  <cols>
    <col min="1" max="1" width="12" style="51" customWidth="1"/>
    <col min="2" max="2" width="43.1796875" style="79" customWidth="1"/>
    <col min="3" max="3" width="22.81640625" style="189" customWidth="1"/>
    <col min="4" max="4" width="11" style="51" customWidth="1"/>
    <col min="5" max="5" width="20.1796875" style="51" customWidth="1"/>
    <col min="6" max="7" width="11" style="71" customWidth="1"/>
    <col min="8" max="9" width="9.1796875" style="134" customWidth="1"/>
    <col min="10" max="11" width="9.453125" style="134" customWidth="1"/>
    <col min="12" max="12" width="15.453125" style="51" customWidth="1"/>
    <col min="13" max="13" width="12.81640625" style="51" customWidth="1"/>
    <col min="14" max="16" width="10.6328125" style="51"/>
    <col min="17" max="19" width="15.453125" style="51" bestFit="1" customWidth="1"/>
    <col min="20" max="16384" width="10.6328125" style="51"/>
  </cols>
  <sheetData>
    <row r="1" spans="1:19" ht="23.5">
      <c r="A1" s="56" t="s">
        <v>593</v>
      </c>
      <c r="B1" s="57"/>
      <c r="C1" s="185"/>
      <c r="D1" s="58"/>
      <c r="E1" s="58"/>
      <c r="F1" s="87"/>
      <c r="G1" s="87"/>
      <c r="H1" s="290" t="s">
        <v>60</v>
      </c>
      <c r="I1" s="291"/>
      <c r="J1" s="291" t="s">
        <v>611</v>
      </c>
      <c r="K1" s="292"/>
    </row>
    <row r="2" spans="1:19" s="64" customFormat="1">
      <c r="A2" s="60" t="s">
        <v>0</v>
      </c>
      <c r="B2" s="61" t="s">
        <v>147</v>
      </c>
      <c r="C2" s="186" t="s">
        <v>202</v>
      </c>
      <c r="D2" s="62" t="s">
        <v>60</v>
      </c>
      <c r="E2" s="111" t="s">
        <v>611</v>
      </c>
      <c r="F2" s="62" t="s">
        <v>60</v>
      </c>
      <c r="G2" s="118" t="s">
        <v>611</v>
      </c>
      <c r="H2" s="121" t="s">
        <v>563</v>
      </c>
      <c r="I2" s="122" t="s">
        <v>564</v>
      </c>
      <c r="J2" s="122" t="s">
        <v>563</v>
      </c>
      <c r="K2" s="123" t="s">
        <v>564</v>
      </c>
      <c r="L2" s="64" t="s">
        <v>613</v>
      </c>
      <c r="M2" s="64" t="s">
        <v>614</v>
      </c>
      <c r="N2" s="64" t="s">
        <v>594</v>
      </c>
      <c r="Q2" s="64" t="s">
        <v>595</v>
      </c>
      <c r="R2" s="64" t="s">
        <v>594</v>
      </c>
    </row>
    <row r="3" spans="1:19" s="71" customFormat="1">
      <c r="A3" s="65" t="s">
        <v>437</v>
      </c>
      <c r="B3" s="66" t="s">
        <v>171</v>
      </c>
      <c r="C3" s="191" t="s">
        <v>199</v>
      </c>
      <c r="D3" s="112" t="s">
        <v>526</v>
      </c>
      <c r="E3" s="113" t="s">
        <v>481</v>
      </c>
      <c r="F3" s="69">
        <v>1.2074647999999999E-3</v>
      </c>
      <c r="G3" s="119">
        <v>1.2354844729472301</v>
      </c>
      <c r="H3" s="124">
        <v>8.4522535999999998E-4</v>
      </c>
      <c r="I3" s="125">
        <v>1.5697042399999998E-3</v>
      </c>
      <c r="J3" s="128">
        <v>0.86483913106306098</v>
      </c>
      <c r="K3" s="129">
        <v>1.6061298148313992</v>
      </c>
      <c r="L3" s="160">
        <f t="shared" ref="L3:L27" si="0">K3-G3</f>
        <v>0.37064534188416909</v>
      </c>
      <c r="M3" s="160">
        <f>G3-J3</f>
        <v>0.37064534188416909</v>
      </c>
      <c r="N3" s="159">
        <f>I3-F3</f>
        <v>3.6223943999999985E-4</v>
      </c>
      <c r="O3" s="159">
        <f>F3-H3</f>
        <v>3.6223943999999996E-4</v>
      </c>
      <c r="Q3" s="161">
        <f>F3*1000</f>
        <v>1.2074647999999999</v>
      </c>
      <c r="R3" s="161">
        <f>N3*1000</f>
        <v>0.36223943999999986</v>
      </c>
      <c r="S3" s="161">
        <f>O3*1000</f>
        <v>0.36223943999999997</v>
      </c>
    </row>
    <row r="4" spans="1:19" s="71" customFormat="1">
      <c r="A4" s="65" t="s">
        <v>439</v>
      </c>
      <c r="B4" s="66" t="s">
        <v>166</v>
      </c>
      <c r="C4" s="190" t="s">
        <v>216</v>
      </c>
      <c r="D4" s="112" t="s">
        <v>535</v>
      </c>
      <c r="E4" s="113" t="s">
        <v>491</v>
      </c>
      <c r="F4" s="69">
        <v>3.19302E-3</v>
      </c>
      <c r="G4" s="119">
        <v>4.5681808878244601</v>
      </c>
      <c r="H4" s="124">
        <v>1.59651E-3</v>
      </c>
      <c r="I4" s="125">
        <v>4.7895300000000002E-3</v>
      </c>
      <c r="J4" s="126">
        <v>2.28409044391223</v>
      </c>
      <c r="K4" s="127">
        <v>6.8522713317366897</v>
      </c>
      <c r="L4" s="160">
        <f t="shared" si="0"/>
        <v>2.2840904439122296</v>
      </c>
      <c r="M4" s="160">
        <f t="shared" ref="M4:M49" si="1">G4-J4</f>
        <v>2.28409044391223</v>
      </c>
      <c r="N4" s="159">
        <f t="shared" ref="N4:N49" si="2">I4-F4</f>
        <v>1.5965100000000002E-3</v>
      </c>
      <c r="O4" s="159">
        <f t="shared" ref="O4:O49" si="3">F4-H4</f>
        <v>1.59651E-3</v>
      </c>
      <c r="Q4" s="161">
        <f t="shared" ref="Q4:Q49" si="4">F4*1000</f>
        <v>3.1930200000000002</v>
      </c>
      <c r="R4" s="161">
        <f t="shared" ref="R4:R49" si="5">N4*1000</f>
        <v>1.5965100000000001</v>
      </c>
      <c r="S4" s="161">
        <f t="shared" ref="S4:S49" si="6">O4*1000</f>
        <v>1.5965100000000001</v>
      </c>
    </row>
    <row r="5" spans="1:19" s="71" customFormat="1">
      <c r="A5" s="65" t="s">
        <v>38</v>
      </c>
      <c r="B5" s="66" t="s">
        <v>220</v>
      </c>
      <c r="C5" s="190" t="s">
        <v>216</v>
      </c>
      <c r="D5" s="112" t="s">
        <v>541</v>
      </c>
      <c r="E5" s="113" t="s">
        <v>498</v>
      </c>
      <c r="F5" s="69">
        <v>5.3150000000000003E-3</v>
      </c>
      <c r="G5" s="119">
        <v>7.8342110738352027</v>
      </c>
      <c r="H5" s="124">
        <v>2.6575000000000001E-3</v>
      </c>
      <c r="I5" s="125">
        <v>7.9725000000000004E-3</v>
      </c>
      <c r="J5" s="126">
        <v>3.9171055369176013</v>
      </c>
      <c r="K5" s="127">
        <v>11.751316610752804</v>
      </c>
      <c r="L5" s="160">
        <f t="shared" si="0"/>
        <v>3.9171055369176013</v>
      </c>
      <c r="M5" s="160">
        <f t="shared" si="1"/>
        <v>3.9171055369176013</v>
      </c>
      <c r="N5" s="159">
        <f t="shared" si="2"/>
        <v>2.6575000000000001E-3</v>
      </c>
      <c r="O5" s="159">
        <f t="shared" si="3"/>
        <v>2.6575000000000001E-3</v>
      </c>
      <c r="Q5" s="161">
        <f t="shared" si="4"/>
        <v>5.3150000000000004</v>
      </c>
      <c r="R5" s="161">
        <f t="shared" si="5"/>
        <v>2.6575000000000002</v>
      </c>
      <c r="S5" s="161">
        <f t="shared" si="6"/>
        <v>2.6575000000000002</v>
      </c>
    </row>
    <row r="6" spans="1:19" s="71" customFormat="1">
      <c r="A6" s="65" t="s">
        <v>438</v>
      </c>
      <c r="B6" s="84" t="s">
        <v>53</v>
      </c>
      <c r="C6" s="187" t="s">
        <v>200</v>
      </c>
      <c r="D6" s="112" t="s">
        <v>554</v>
      </c>
      <c r="E6" s="113" t="s">
        <v>511</v>
      </c>
      <c r="F6" s="69">
        <v>9.9516740000000006E-3</v>
      </c>
      <c r="G6" s="119">
        <v>8.4566888560873181</v>
      </c>
      <c r="H6" s="124">
        <v>4.9758370000000003E-3</v>
      </c>
      <c r="I6" s="125">
        <v>1.9903348000000001E-2</v>
      </c>
      <c r="J6" s="126">
        <v>4.2283444280436591</v>
      </c>
      <c r="K6" s="127">
        <v>16.913377712174636</v>
      </c>
      <c r="L6" s="160">
        <f t="shared" si="0"/>
        <v>8.4566888560873181</v>
      </c>
      <c r="M6" s="160">
        <f t="shared" si="1"/>
        <v>4.2283444280436591</v>
      </c>
      <c r="N6" s="159">
        <f t="shared" si="2"/>
        <v>9.9516740000000006E-3</v>
      </c>
      <c r="O6" s="159">
        <f t="shared" si="3"/>
        <v>4.9758370000000003E-3</v>
      </c>
      <c r="Q6" s="161">
        <f t="shared" si="4"/>
        <v>9.9516740000000006</v>
      </c>
      <c r="R6" s="161">
        <f t="shared" si="5"/>
        <v>9.9516740000000006</v>
      </c>
      <c r="S6" s="161">
        <f t="shared" si="6"/>
        <v>4.9758370000000003</v>
      </c>
    </row>
    <row r="7" spans="1:19" s="71" customFormat="1">
      <c r="A7" s="89" t="s">
        <v>437</v>
      </c>
      <c r="B7" s="84" t="s">
        <v>111</v>
      </c>
      <c r="C7" s="191" t="s">
        <v>266</v>
      </c>
      <c r="D7" s="112" t="s">
        <v>520</v>
      </c>
      <c r="E7" s="113" t="s">
        <v>478</v>
      </c>
      <c r="F7" s="69">
        <v>8.6937461999999997E-3</v>
      </c>
      <c r="G7" s="119">
        <v>8.8954881776451415</v>
      </c>
      <c r="H7" s="124">
        <v>7.8243715799999995E-3</v>
      </c>
      <c r="I7" s="125">
        <v>9.5631208199999998E-3</v>
      </c>
      <c r="J7" s="126">
        <v>8.0059393598806281</v>
      </c>
      <c r="K7" s="127">
        <v>9.785036995409655</v>
      </c>
      <c r="L7" s="160">
        <f t="shared" si="0"/>
        <v>0.88954881776451344</v>
      </c>
      <c r="M7" s="160">
        <f t="shared" si="1"/>
        <v>0.88954881776451344</v>
      </c>
      <c r="N7" s="159">
        <f t="shared" si="2"/>
        <v>8.6937462000000014E-4</v>
      </c>
      <c r="O7" s="159">
        <f t="shared" si="3"/>
        <v>8.6937462000000014E-4</v>
      </c>
      <c r="Q7" s="161">
        <f t="shared" si="4"/>
        <v>8.6937461999999996</v>
      </c>
      <c r="R7" s="161">
        <f t="shared" si="5"/>
        <v>0.8693746200000001</v>
      </c>
      <c r="S7" s="161">
        <f t="shared" si="6"/>
        <v>0.8693746200000001</v>
      </c>
    </row>
    <row r="8" spans="1:19" s="71" customFormat="1">
      <c r="A8" s="65" t="s">
        <v>439</v>
      </c>
      <c r="B8" s="66" t="s">
        <v>45</v>
      </c>
      <c r="C8" s="187" t="s">
        <v>200</v>
      </c>
      <c r="D8" s="112" t="s">
        <v>547</v>
      </c>
      <c r="E8" s="113" t="s">
        <v>474</v>
      </c>
      <c r="F8" s="69">
        <v>8.1682391000000003E-3</v>
      </c>
      <c r="G8" s="119">
        <v>10.499639063324402</v>
      </c>
      <c r="H8" s="124">
        <v>4.0841195500000002E-3</v>
      </c>
      <c r="I8" s="125">
        <v>1.6336478200000001E-2</v>
      </c>
      <c r="J8" s="126">
        <v>5.2498195316622009</v>
      </c>
      <c r="K8" s="127">
        <v>20.999278126648804</v>
      </c>
      <c r="L8" s="160">
        <f t="shared" si="0"/>
        <v>10.499639063324402</v>
      </c>
      <c r="M8" s="160">
        <f t="shared" si="1"/>
        <v>5.2498195316622009</v>
      </c>
      <c r="N8" s="159">
        <f t="shared" si="2"/>
        <v>8.1682391000000003E-3</v>
      </c>
      <c r="O8" s="159">
        <f t="shared" si="3"/>
        <v>4.0841195500000002E-3</v>
      </c>
      <c r="Q8" s="161">
        <f t="shared" si="4"/>
        <v>8.168239100000001</v>
      </c>
      <c r="R8" s="161">
        <f t="shared" si="5"/>
        <v>8.168239100000001</v>
      </c>
      <c r="S8" s="161">
        <f t="shared" si="6"/>
        <v>4.0841195500000005</v>
      </c>
    </row>
    <row r="9" spans="1:19" s="71" customFormat="1">
      <c r="A9" s="65" t="s">
        <v>439</v>
      </c>
      <c r="B9" s="66" t="s">
        <v>189</v>
      </c>
      <c r="C9" s="191" t="s">
        <v>199</v>
      </c>
      <c r="D9" s="112" t="s">
        <v>523</v>
      </c>
      <c r="E9" s="113" t="s">
        <v>480</v>
      </c>
      <c r="F9" s="69">
        <v>6.8896838E-3</v>
      </c>
      <c r="G9" s="119">
        <v>12.5922359177478</v>
      </c>
      <c r="H9" s="124">
        <v>4.8227786600000006E-3</v>
      </c>
      <c r="I9" s="125">
        <v>8.9565889399999994E-3</v>
      </c>
      <c r="J9" s="126">
        <v>8.8145651424234597</v>
      </c>
      <c r="K9" s="127">
        <v>16.369906693072139</v>
      </c>
      <c r="L9" s="160">
        <f t="shared" si="0"/>
        <v>3.7776707753243386</v>
      </c>
      <c r="M9" s="160">
        <f t="shared" si="1"/>
        <v>3.7776707753243404</v>
      </c>
      <c r="N9" s="159">
        <f t="shared" si="2"/>
        <v>2.0669051399999994E-3</v>
      </c>
      <c r="O9" s="159">
        <f t="shared" si="3"/>
        <v>2.0669051399999994E-3</v>
      </c>
      <c r="Q9" s="161">
        <f t="shared" si="4"/>
        <v>6.8896838000000002</v>
      </c>
      <c r="R9" s="161">
        <f t="shared" si="5"/>
        <v>2.0669051399999994</v>
      </c>
      <c r="S9" s="161">
        <f t="shared" si="6"/>
        <v>2.0669051399999994</v>
      </c>
    </row>
    <row r="10" spans="1:19" s="71" customFormat="1">
      <c r="A10" s="65" t="s">
        <v>437</v>
      </c>
      <c r="B10" s="66" t="s">
        <v>170</v>
      </c>
      <c r="C10" s="187" t="s">
        <v>200</v>
      </c>
      <c r="D10" s="112" t="s">
        <v>550</v>
      </c>
      <c r="E10" s="113" t="s">
        <v>507</v>
      </c>
      <c r="F10" s="69">
        <v>2.3422274999999999E-2</v>
      </c>
      <c r="G10" s="119">
        <v>23.447429895265422</v>
      </c>
      <c r="H10" s="124">
        <v>1.17111375E-2</v>
      </c>
      <c r="I10" s="125">
        <v>4.6844549999999999E-2</v>
      </c>
      <c r="J10" s="126">
        <v>11.723714947632711</v>
      </c>
      <c r="K10" s="127">
        <v>46.894859790530845</v>
      </c>
      <c r="L10" s="160">
        <f t="shared" si="0"/>
        <v>23.447429895265422</v>
      </c>
      <c r="M10" s="160">
        <f>G10-J10</f>
        <v>11.723714947632711</v>
      </c>
      <c r="N10" s="159">
        <f>I10-F10</f>
        <v>2.3422274999999999E-2</v>
      </c>
      <c r="O10" s="159">
        <f t="shared" si="3"/>
        <v>1.17111375E-2</v>
      </c>
      <c r="Q10" s="161">
        <f t="shared" si="4"/>
        <v>23.422274999999999</v>
      </c>
      <c r="R10" s="161">
        <f t="shared" si="5"/>
        <v>23.422274999999999</v>
      </c>
      <c r="S10" s="161">
        <f t="shared" si="6"/>
        <v>11.7111375</v>
      </c>
    </row>
    <row r="11" spans="1:19" s="71" customFormat="1">
      <c r="A11" s="65" t="s">
        <v>438</v>
      </c>
      <c r="B11" s="66" t="s">
        <v>138</v>
      </c>
      <c r="C11" s="190" t="s">
        <v>216</v>
      </c>
      <c r="D11" s="112" t="s">
        <v>542</v>
      </c>
      <c r="E11" s="113" t="s">
        <v>499</v>
      </c>
      <c r="F11" s="69">
        <v>2.2048029E-2</v>
      </c>
      <c r="G11" s="119">
        <v>24.68810649890937</v>
      </c>
      <c r="H11" s="124">
        <v>1.10240145E-2</v>
      </c>
      <c r="I11" s="125">
        <v>3.3072043500000002E-2</v>
      </c>
      <c r="J11" s="126">
        <v>12.344053249454685</v>
      </c>
      <c r="K11" s="127">
        <v>37.032159748364052</v>
      </c>
      <c r="L11" s="160">
        <f t="shared" si="0"/>
        <v>12.344053249454682</v>
      </c>
      <c r="M11" s="160">
        <f>G11-J11</f>
        <v>12.344053249454685</v>
      </c>
      <c r="N11" s="159">
        <f t="shared" si="2"/>
        <v>1.1024014500000002E-2</v>
      </c>
      <c r="O11" s="159">
        <f t="shared" si="3"/>
        <v>1.10240145E-2</v>
      </c>
      <c r="Q11" s="161">
        <f t="shared" si="4"/>
        <v>22.048029</v>
      </c>
      <c r="R11" s="161">
        <f t="shared" si="5"/>
        <v>11.024014500000002</v>
      </c>
      <c r="S11" s="161">
        <f t="shared" si="6"/>
        <v>11.0240145</v>
      </c>
    </row>
    <row r="12" spans="1:19" s="71" customFormat="1">
      <c r="A12" s="65" t="s">
        <v>439</v>
      </c>
      <c r="B12" s="66" t="s">
        <v>251</v>
      </c>
      <c r="C12" s="191" t="s">
        <v>199</v>
      </c>
      <c r="D12" s="112" t="s">
        <v>524</v>
      </c>
      <c r="E12" s="113" t="s">
        <v>475</v>
      </c>
      <c r="F12" s="69">
        <v>1.5912835E-2</v>
      </c>
      <c r="G12" s="119">
        <v>29.893633547256087</v>
      </c>
      <c r="H12" s="124">
        <v>1.1138984500000001E-2</v>
      </c>
      <c r="I12" s="125">
        <v>2.06866855E-2</v>
      </c>
      <c r="J12" s="126">
        <v>20.925543483079259</v>
      </c>
      <c r="K12" s="127">
        <v>38.861723611432915</v>
      </c>
      <c r="L12" s="160">
        <f t="shared" si="0"/>
        <v>8.9680900641768275</v>
      </c>
      <c r="M12" s="160">
        <f t="shared" si="1"/>
        <v>8.9680900641768275</v>
      </c>
      <c r="N12" s="159">
        <f t="shared" si="2"/>
        <v>4.7738504999999994E-3</v>
      </c>
      <c r="O12" s="159">
        <f t="shared" si="3"/>
        <v>4.7738504999999994E-3</v>
      </c>
      <c r="Q12" s="161">
        <f t="shared" si="4"/>
        <v>15.912834999999999</v>
      </c>
      <c r="R12" s="161">
        <f t="shared" si="5"/>
        <v>4.7738504999999991</v>
      </c>
      <c r="S12" s="161">
        <f t="shared" si="6"/>
        <v>4.7738504999999991</v>
      </c>
    </row>
    <row r="13" spans="1:19" s="71" customFormat="1">
      <c r="A13" s="65" t="s">
        <v>438</v>
      </c>
      <c r="B13" s="66" t="s">
        <v>336</v>
      </c>
      <c r="C13" s="187" t="s">
        <v>200</v>
      </c>
      <c r="D13" s="112" t="s">
        <v>559</v>
      </c>
      <c r="E13" s="113" t="s">
        <v>516</v>
      </c>
      <c r="F13" s="69">
        <v>3.0845792E-2</v>
      </c>
      <c r="G13" s="119">
        <v>33.512047632653974</v>
      </c>
      <c r="H13" s="124">
        <v>1.5422896E-2</v>
      </c>
      <c r="I13" s="125">
        <v>6.1691584000000001E-2</v>
      </c>
      <c r="J13" s="126">
        <v>16.756023816326987</v>
      </c>
      <c r="K13" s="127">
        <v>67.024095265307949</v>
      </c>
      <c r="L13" s="160">
        <f t="shared" si="0"/>
        <v>33.512047632653974</v>
      </c>
      <c r="M13" s="160">
        <f t="shared" si="1"/>
        <v>16.756023816326987</v>
      </c>
      <c r="N13" s="159">
        <f t="shared" si="2"/>
        <v>3.0845792E-2</v>
      </c>
      <c r="O13" s="159">
        <f t="shared" si="3"/>
        <v>1.5422896E-2</v>
      </c>
      <c r="Q13" s="161">
        <f t="shared" si="4"/>
        <v>30.845791999999999</v>
      </c>
      <c r="R13" s="161">
        <f t="shared" si="5"/>
        <v>30.845791999999999</v>
      </c>
      <c r="S13" s="161">
        <f t="shared" si="6"/>
        <v>15.422896</v>
      </c>
    </row>
    <row r="14" spans="1:19" s="71" customFormat="1">
      <c r="A14" s="65" t="s">
        <v>438</v>
      </c>
      <c r="B14" s="84" t="s">
        <v>50</v>
      </c>
      <c r="C14" s="193" t="s">
        <v>216</v>
      </c>
      <c r="D14" s="114" t="s">
        <v>540</v>
      </c>
      <c r="E14" s="115" t="s">
        <v>500</v>
      </c>
      <c r="F14" s="69">
        <v>3.1121656000000001E-2</v>
      </c>
      <c r="G14" s="119">
        <v>46.352653807595956</v>
      </c>
      <c r="H14" s="124">
        <v>1.5560828000000001E-2</v>
      </c>
      <c r="I14" s="125">
        <v>4.6682484000000003E-2</v>
      </c>
      <c r="J14" s="126">
        <v>23.176326903797978</v>
      </c>
      <c r="K14" s="127">
        <v>69.528980711393928</v>
      </c>
      <c r="L14" s="160">
        <f t="shared" si="0"/>
        <v>23.176326903797971</v>
      </c>
      <c r="M14" s="160">
        <f t="shared" si="1"/>
        <v>23.176326903797978</v>
      </c>
      <c r="N14" s="159">
        <f t="shared" si="2"/>
        <v>1.5560828000000002E-2</v>
      </c>
      <c r="O14" s="159">
        <f t="shared" si="3"/>
        <v>1.5560828000000001E-2</v>
      </c>
      <c r="Q14" s="161">
        <f t="shared" si="4"/>
        <v>31.121656000000002</v>
      </c>
      <c r="R14" s="161">
        <f t="shared" si="5"/>
        <v>15.560828000000003</v>
      </c>
      <c r="S14" s="161">
        <f t="shared" si="6"/>
        <v>15.560828000000001</v>
      </c>
    </row>
    <row r="15" spans="1:19" s="71" customFormat="1">
      <c r="A15" s="65" t="s">
        <v>38</v>
      </c>
      <c r="B15" s="66" t="s">
        <v>248</v>
      </c>
      <c r="C15" s="190" t="s">
        <v>232</v>
      </c>
      <c r="D15" s="112" t="s">
        <v>540</v>
      </c>
      <c r="E15" s="113" t="s">
        <v>497</v>
      </c>
      <c r="F15" s="69">
        <v>3.5199714999999999E-2</v>
      </c>
      <c r="G15" s="119">
        <v>50.763252037322673</v>
      </c>
      <c r="H15" s="124">
        <v>1.75998575E-2</v>
      </c>
      <c r="I15" s="125">
        <v>5.2799572500000003E-2</v>
      </c>
      <c r="J15" s="126">
        <v>25.381626018661336</v>
      </c>
      <c r="K15" s="127">
        <v>76.144878055984009</v>
      </c>
      <c r="L15" s="160">
        <f t="shared" si="0"/>
        <v>25.381626018661336</v>
      </c>
      <c r="M15" s="160">
        <f t="shared" si="1"/>
        <v>25.381626018661336</v>
      </c>
      <c r="N15" s="159">
        <f t="shared" si="2"/>
        <v>1.7599857500000003E-2</v>
      </c>
      <c r="O15" s="159">
        <f t="shared" si="3"/>
        <v>1.75998575E-2</v>
      </c>
      <c r="Q15" s="161">
        <f t="shared" si="4"/>
        <v>35.199714999999998</v>
      </c>
      <c r="R15" s="161">
        <f t="shared" si="5"/>
        <v>17.599857500000002</v>
      </c>
      <c r="S15" s="161">
        <f t="shared" si="6"/>
        <v>17.599857499999999</v>
      </c>
    </row>
    <row r="16" spans="1:19" s="71" customFormat="1">
      <c r="A16" s="65" t="s">
        <v>438</v>
      </c>
      <c r="B16" s="84" t="s">
        <v>52</v>
      </c>
      <c r="C16" s="190" t="s">
        <v>216</v>
      </c>
      <c r="D16" s="112" t="s">
        <v>537</v>
      </c>
      <c r="E16" s="113" t="s">
        <v>501</v>
      </c>
      <c r="F16" s="69">
        <v>3.9125422999999999E-2</v>
      </c>
      <c r="G16" s="119">
        <v>55.413236272241924</v>
      </c>
      <c r="H16" s="124">
        <v>1.95627115E-2</v>
      </c>
      <c r="I16" s="125">
        <v>5.8688134500000003E-2</v>
      </c>
      <c r="J16" s="126">
        <v>27.706618136120962</v>
      </c>
      <c r="K16" s="127">
        <v>83.119854408362883</v>
      </c>
      <c r="L16" s="160">
        <f t="shared" si="0"/>
        <v>27.706618136120959</v>
      </c>
      <c r="M16" s="160">
        <f t="shared" si="1"/>
        <v>27.706618136120962</v>
      </c>
      <c r="N16" s="159">
        <f t="shared" si="2"/>
        <v>1.9562711500000003E-2</v>
      </c>
      <c r="O16" s="159">
        <f t="shared" si="3"/>
        <v>1.95627115E-2</v>
      </c>
      <c r="Q16" s="161">
        <f t="shared" si="4"/>
        <v>39.125422999999998</v>
      </c>
      <c r="R16" s="161">
        <f t="shared" si="5"/>
        <v>19.562711500000002</v>
      </c>
      <c r="S16" s="161">
        <f t="shared" si="6"/>
        <v>19.562711499999999</v>
      </c>
    </row>
    <row r="17" spans="1:19" s="71" customFormat="1">
      <c r="A17" s="65" t="s">
        <v>439</v>
      </c>
      <c r="B17" s="66" t="s">
        <v>163</v>
      </c>
      <c r="C17" s="190" t="s">
        <v>260</v>
      </c>
      <c r="D17" s="112" t="s">
        <v>537</v>
      </c>
      <c r="E17" s="113" t="s">
        <v>493</v>
      </c>
      <c r="F17" s="69">
        <v>3.7867954000000002E-2</v>
      </c>
      <c r="G17" s="119">
        <v>58.936062782308689</v>
      </c>
      <c r="H17" s="124">
        <v>1.8933977000000001E-2</v>
      </c>
      <c r="I17" s="125">
        <v>5.6801931E-2</v>
      </c>
      <c r="J17" s="126">
        <v>29.468031391154344</v>
      </c>
      <c r="K17" s="127">
        <v>88.404094173463037</v>
      </c>
      <c r="L17" s="160">
        <f t="shared" si="0"/>
        <v>29.468031391154348</v>
      </c>
      <c r="M17" s="160">
        <f t="shared" si="1"/>
        <v>29.468031391154344</v>
      </c>
      <c r="N17" s="159">
        <f t="shared" si="2"/>
        <v>1.8933976999999998E-2</v>
      </c>
      <c r="O17" s="159">
        <f t="shared" si="3"/>
        <v>1.8933977000000001E-2</v>
      </c>
      <c r="Q17" s="161">
        <f t="shared" si="4"/>
        <v>37.867954000000005</v>
      </c>
      <c r="R17" s="161">
        <f t="shared" si="5"/>
        <v>18.933976999999999</v>
      </c>
      <c r="S17" s="161">
        <f t="shared" si="6"/>
        <v>18.933977000000002</v>
      </c>
    </row>
    <row r="18" spans="1:19" s="71" customFormat="1">
      <c r="A18" s="65" t="s">
        <v>438</v>
      </c>
      <c r="B18" s="66" t="s">
        <v>335</v>
      </c>
      <c r="C18" s="187" t="s">
        <v>312</v>
      </c>
      <c r="D18" s="112" t="s">
        <v>558</v>
      </c>
      <c r="E18" s="113" t="s">
        <v>515</v>
      </c>
      <c r="F18" s="69">
        <v>4.5695101000000002E-2</v>
      </c>
      <c r="G18" s="119">
        <v>63.045924441907516</v>
      </c>
      <c r="H18" s="124">
        <v>2.2847550500000001E-2</v>
      </c>
      <c r="I18" s="125">
        <v>9.1390202000000004E-2</v>
      </c>
      <c r="J18" s="126">
        <v>31.522962220953758</v>
      </c>
      <c r="K18" s="127">
        <v>126.09184888381503</v>
      </c>
      <c r="L18" s="160">
        <f t="shared" si="0"/>
        <v>63.045924441907516</v>
      </c>
      <c r="M18" s="160">
        <f t="shared" si="1"/>
        <v>31.522962220953758</v>
      </c>
      <c r="N18" s="159">
        <f t="shared" si="2"/>
        <v>4.5695101000000002E-2</v>
      </c>
      <c r="O18" s="159">
        <f t="shared" si="3"/>
        <v>2.2847550500000001E-2</v>
      </c>
      <c r="Q18" s="161">
        <f t="shared" si="4"/>
        <v>45.695101000000001</v>
      </c>
      <c r="R18" s="161">
        <f t="shared" si="5"/>
        <v>45.695101000000001</v>
      </c>
      <c r="S18" s="161">
        <f t="shared" si="6"/>
        <v>22.847550500000001</v>
      </c>
    </row>
    <row r="19" spans="1:19" s="71" customFormat="1">
      <c r="A19" s="65" t="s">
        <v>439</v>
      </c>
      <c r="B19" s="66" t="s">
        <v>344</v>
      </c>
      <c r="C19" s="190" t="s">
        <v>216</v>
      </c>
      <c r="D19" s="112" t="s">
        <v>536</v>
      </c>
      <c r="E19" s="113" t="s">
        <v>492</v>
      </c>
      <c r="F19" s="69">
        <v>4.7456012999999998E-2</v>
      </c>
      <c r="G19" s="119">
        <v>65.504203731589712</v>
      </c>
      <c r="H19" s="124">
        <v>2.3728006499999999E-2</v>
      </c>
      <c r="I19" s="125">
        <v>7.1184019500000001E-2</v>
      </c>
      <c r="J19" s="126">
        <v>32.752101865794856</v>
      </c>
      <c r="K19" s="127">
        <v>98.256305597384568</v>
      </c>
      <c r="L19" s="160">
        <f t="shared" si="0"/>
        <v>32.752101865794856</v>
      </c>
      <c r="M19" s="160">
        <f t="shared" si="1"/>
        <v>32.752101865794856</v>
      </c>
      <c r="N19" s="159">
        <f t="shared" si="2"/>
        <v>2.3728006500000003E-2</v>
      </c>
      <c r="O19" s="159">
        <f t="shared" si="3"/>
        <v>2.3728006499999999E-2</v>
      </c>
      <c r="Q19" s="161">
        <f t="shared" si="4"/>
        <v>47.456012999999999</v>
      </c>
      <c r="R19" s="161">
        <f t="shared" si="5"/>
        <v>23.728006500000003</v>
      </c>
      <c r="S19" s="161">
        <f t="shared" si="6"/>
        <v>23.728006499999999</v>
      </c>
    </row>
    <row r="20" spans="1:19" s="71" customFormat="1">
      <c r="A20" s="65" t="s">
        <v>1</v>
      </c>
      <c r="B20" s="66" t="s">
        <v>18</v>
      </c>
      <c r="C20" s="191" t="s">
        <v>201</v>
      </c>
      <c r="D20" s="112" t="s">
        <v>521</v>
      </c>
      <c r="E20" s="113" t="s">
        <v>486</v>
      </c>
      <c r="F20" s="69">
        <v>6.4807813000000006E-2</v>
      </c>
      <c r="G20" s="119">
        <v>67.467957083767303</v>
      </c>
      <c r="H20" s="124">
        <v>5.1846250400000002E-2</v>
      </c>
      <c r="I20" s="125">
        <v>7.776937560000001E-2</v>
      </c>
      <c r="J20" s="126">
        <v>53.974365667013842</v>
      </c>
      <c r="K20" s="127">
        <v>80.961548500520763</v>
      </c>
      <c r="L20" s="160">
        <f t="shared" si="0"/>
        <v>13.493591416753461</v>
      </c>
      <c r="M20" s="160">
        <f t="shared" si="1"/>
        <v>13.493591416753461</v>
      </c>
      <c r="N20" s="159">
        <f t="shared" si="2"/>
        <v>1.2961562600000004E-2</v>
      </c>
      <c r="O20" s="159">
        <f t="shared" si="3"/>
        <v>1.2961562600000004E-2</v>
      </c>
      <c r="Q20" s="161">
        <f t="shared" si="4"/>
        <v>64.80781300000001</v>
      </c>
      <c r="R20" s="161">
        <f t="shared" si="5"/>
        <v>12.961562600000004</v>
      </c>
      <c r="S20" s="161">
        <f t="shared" si="6"/>
        <v>12.961562600000004</v>
      </c>
    </row>
    <row r="21" spans="1:19" s="71" customFormat="1">
      <c r="A21" s="65" t="s">
        <v>438</v>
      </c>
      <c r="B21" s="66" t="s">
        <v>332</v>
      </c>
      <c r="C21" s="187" t="s">
        <v>200</v>
      </c>
      <c r="D21" s="112" t="s">
        <v>555</v>
      </c>
      <c r="E21" s="113" t="s">
        <v>512</v>
      </c>
      <c r="F21" s="69">
        <v>7.0093205000000006E-2</v>
      </c>
      <c r="G21" s="119">
        <v>72.124661835116797</v>
      </c>
      <c r="H21" s="124">
        <v>3.5046602500000003E-2</v>
      </c>
      <c r="I21" s="125">
        <v>0.14018641000000001</v>
      </c>
      <c r="J21" s="126">
        <v>36.062330917558398</v>
      </c>
      <c r="K21" s="127">
        <v>144.24932367023359</v>
      </c>
      <c r="L21" s="160">
        <f t="shared" si="0"/>
        <v>72.124661835116797</v>
      </c>
      <c r="M21" s="160">
        <f t="shared" si="1"/>
        <v>36.062330917558398</v>
      </c>
      <c r="N21" s="159">
        <f t="shared" si="2"/>
        <v>7.0093205000000006E-2</v>
      </c>
      <c r="O21" s="159">
        <f t="shared" si="3"/>
        <v>3.5046602500000003E-2</v>
      </c>
      <c r="Q21" s="161">
        <f t="shared" si="4"/>
        <v>70.093205000000012</v>
      </c>
      <c r="R21" s="161">
        <f t="shared" si="5"/>
        <v>70.093205000000012</v>
      </c>
      <c r="S21" s="161">
        <f t="shared" si="6"/>
        <v>35.046602500000006</v>
      </c>
    </row>
    <row r="22" spans="1:19" s="71" customFormat="1">
      <c r="A22" s="65" t="s">
        <v>38</v>
      </c>
      <c r="B22" s="66" t="s">
        <v>247</v>
      </c>
      <c r="C22" s="190" t="s">
        <v>217</v>
      </c>
      <c r="D22" s="112" t="s">
        <v>534</v>
      </c>
      <c r="E22" s="113" t="s">
        <v>476</v>
      </c>
      <c r="F22" s="69">
        <v>5.5192583000000003E-2</v>
      </c>
      <c r="G22" s="119">
        <v>74.138500861070739</v>
      </c>
      <c r="H22" s="124">
        <v>3.3115549800000005E-2</v>
      </c>
      <c r="I22" s="125">
        <v>7.7269616200000002E-2</v>
      </c>
      <c r="J22" s="126">
        <v>44.483100516642438</v>
      </c>
      <c r="K22" s="127">
        <v>103.79390120549904</v>
      </c>
      <c r="L22" s="160">
        <f t="shared" si="0"/>
        <v>29.655400344428301</v>
      </c>
      <c r="M22" s="160">
        <f t="shared" si="1"/>
        <v>29.655400344428301</v>
      </c>
      <c r="N22" s="159">
        <f t="shared" si="2"/>
        <v>2.2077033199999999E-2</v>
      </c>
      <c r="O22" s="159">
        <f t="shared" si="3"/>
        <v>2.2077033199999999E-2</v>
      </c>
      <c r="Q22" s="161">
        <f t="shared" si="4"/>
        <v>55.192583000000006</v>
      </c>
      <c r="R22" s="161">
        <f t="shared" si="5"/>
        <v>22.077033199999999</v>
      </c>
      <c r="S22" s="161">
        <f t="shared" si="6"/>
        <v>22.077033199999999</v>
      </c>
    </row>
    <row r="23" spans="1:19" s="71" customFormat="1">
      <c r="A23" s="65" t="s">
        <v>437</v>
      </c>
      <c r="B23" s="66" t="s">
        <v>192</v>
      </c>
      <c r="C23" s="187" t="s">
        <v>200</v>
      </c>
      <c r="D23" s="112" t="s">
        <v>549</v>
      </c>
      <c r="E23" s="113" t="s">
        <v>506</v>
      </c>
      <c r="F23" s="69">
        <v>8.7977629000000002E-2</v>
      </c>
      <c r="G23" s="119">
        <v>88.23941135717611</v>
      </c>
      <c r="H23" s="124">
        <v>4.3988814500000001E-2</v>
      </c>
      <c r="I23" s="125">
        <v>0.175955258</v>
      </c>
      <c r="J23" s="126">
        <v>44.119705678588055</v>
      </c>
      <c r="K23" s="127">
        <v>176.47882271435222</v>
      </c>
      <c r="L23" s="160">
        <f t="shared" si="0"/>
        <v>88.23941135717611</v>
      </c>
      <c r="M23" s="160">
        <f t="shared" si="1"/>
        <v>44.119705678588055</v>
      </c>
      <c r="N23" s="159">
        <f>I23-F23</f>
        <v>8.7977629000000002E-2</v>
      </c>
      <c r="O23" s="159">
        <f t="shared" si="3"/>
        <v>4.3988814500000001E-2</v>
      </c>
      <c r="Q23" s="161">
        <f t="shared" si="4"/>
        <v>87.977629000000007</v>
      </c>
      <c r="R23" s="161">
        <f t="shared" si="5"/>
        <v>87.977629000000007</v>
      </c>
      <c r="S23" s="161">
        <f t="shared" si="6"/>
        <v>43.988814500000004</v>
      </c>
    </row>
    <row r="24" spans="1:19" s="71" customFormat="1">
      <c r="A24" s="65" t="s">
        <v>437</v>
      </c>
      <c r="B24" s="66" t="s">
        <v>187</v>
      </c>
      <c r="C24" s="191" t="s">
        <v>199</v>
      </c>
      <c r="D24" s="112" t="s">
        <v>525</v>
      </c>
      <c r="E24" s="113" t="s">
        <v>487</v>
      </c>
      <c r="F24" s="69">
        <v>5.8967672999999998E-2</v>
      </c>
      <c r="G24" s="119">
        <v>88.318696496570112</v>
      </c>
      <c r="H24" s="124">
        <v>4.1277371100000002E-2</v>
      </c>
      <c r="I24" s="125">
        <v>7.6657974899999995E-2</v>
      </c>
      <c r="J24" s="126">
        <v>61.82308754759908</v>
      </c>
      <c r="K24" s="127">
        <v>114.81430544554115</v>
      </c>
      <c r="L24" s="160">
        <f t="shared" si="0"/>
        <v>26.495608948971039</v>
      </c>
      <c r="M24" s="160">
        <f t="shared" si="1"/>
        <v>26.495608948971032</v>
      </c>
      <c r="N24" s="159">
        <f t="shared" si="2"/>
        <v>1.7690301899999997E-2</v>
      </c>
      <c r="O24" s="159">
        <f t="shared" si="3"/>
        <v>1.7690301899999997E-2</v>
      </c>
      <c r="Q24" s="161">
        <f t="shared" si="4"/>
        <v>58.967672999999998</v>
      </c>
      <c r="R24" s="161">
        <f t="shared" si="5"/>
        <v>17.690301899999998</v>
      </c>
      <c r="S24" s="161">
        <f t="shared" si="6"/>
        <v>17.690301899999998</v>
      </c>
    </row>
    <row r="25" spans="1:19" s="71" customFormat="1">
      <c r="A25" s="65" t="s">
        <v>438</v>
      </c>
      <c r="B25" s="66" t="s">
        <v>304</v>
      </c>
      <c r="C25" s="187" t="s">
        <v>311</v>
      </c>
      <c r="D25" s="112" t="s">
        <v>557</v>
      </c>
      <c r="E25" s="113" t="s">
        <v>514</v>
      </c>
      <c r="F25" s="69">
        <v>7.4256890000000006E-2</v>
      </c>
      <c r="G25" s="119">
        <v>96.439776944594371</v>
      </c>
      <c r="H25" s="124">
        <v>3.7128445000000003E-2</v>
      </c>
      <c r="I25" s="125">
        <v>0.14851378000000001</v>
      </c>
      <c r="J25" s="126">
        <v>48.219888472297185</v>
      </c>
      <c r="K25" s="127">
        <v>192.87955388918874</v>
      </c>
      <c r="L25" s="160">
        <f t="shared" si="0"/>
        <v>96.439776944594371</v>
      </c>
      <c r="M25" s="160">
        <f t="shared" si="1"/>
        <v>48.219888472297185</v>
      </c>
      <c r="N25" s="159">
        <f t="shared" si="2"/>
        <v>7.4256890000000006E-2</v>
      </c>
      <c r="O25" s="159">
        <f t="shared" si="3"/>
        <v>3.7128445000000003E-2</v>
      </c>
      <c r="Q25" s="161">
        <f t="shared" si="4"/>
        <v>74.256890000000013</v>
      </c>
      <c r="R25" s="161">
        <f t="shared" si="5"/>
        <v>74.256890000000013</v>
      </c>
      <c r="S25" s="161">
        <f t="shared" si="6"/>
        <v>37.128445000000006</v>
      </c>
    </row>
    <row r="26" spans="1:19" s="71" customFormat="1">
      <c r="A26" s="65" t="s">
        <v>437</v>
      </c>
      <c r="B26" s="66" t="s">
        <v>252</v>
      </c>
      <c r="C26" s="187" t="s">
        <v>217</v>
      </c>
      <c r="D26" s="112" t="s">
        <v>533</v>
      </c>
      <c r="E26" s="113" t="s">
        <v>485</v>
      </c>
      <c r="F26" s="69">
        <v>8.2431844000000004E-2</v>
      </c>
      <c r="G26" s="119">
        <v>115.08819806215908</v>
      </c>
      <c r="H26" s="124">
        <v>4.9459106400000001E-2</v>
      </c>
      <c r="I26" s="125">
        <v>0.1154045816</v>
      </c>
      <c r="J26" s="126">
        <v>69.052918837295437</v>
      </c>
      <c r="K26" s="127">
        <v>161.12347728702272</v>
      </c>
      <c r="L26" s="160">
        <f t="shared" si="0"/>
        <v>46.035279224863643</v>
      </c>
      <c r="M26" s="160">
        <f t="shared" si="1"/>
        <v>46.035279224863643</v>
      </c>
      <c r="N26" s="159">
        <f t="shared" si="2"/>
        <v>3.2972737599999996E-2</v>
      </c>
      <c r="O26" s="159">
        <f t="shared" si="3"/>
        <v>3.2972737600000003E-2</v>
      </c>
      <c r="Q26" s="161">
        <f t="shared" si="4"/>
        <v>82.431843999999998</v>
      </c>
      <c r="R26" s="161">
        <f t="shared" si="5"/>
        <v>32.972737599999995</v>
      </c>
      <c r="S26" s="161">
        <f t="shared" si="6"/>
        <v>32.972737600000002</v>
      </c>
    </row>
    <row r="27" spans="1:19" s="86" customFormat="1">
      <c r="A27" s="65" t="s">
        <v>438</v>
      </c>
      <c r="B27" s="66" t="s">
        <v>306</v>
      </c>
      <c r="C27" s="190" t="s">
        <v>216</v>
      </c>
      <c r="D27" s="112" t="s">
        <v>546</v>
      </c>
      <c r="E27" s="113" t="s">
        <v>502</v>
      </c>
      <c r="F27" s="69">
        <v>0.11344694</v>
      </c>
      <c r="G27" s="119">
        <v>119.41271157440602</v>
      </c>
      <c r="H27" s="124">
        <v>5.6723469999999998E-2</v>
      </c>
      <c r="I27" s="125">
        <v>0.17017040999999999</v>
      </c>
      <c r="J27" s="126">
        <v>59.706355787203009</v>
      </c>
      <c r="K27" s="127">
        <v>179.11906736160904</v>
      </c>
      <c r="L27" s="160">
        <f t="shared" si="0"/>
        <v>59.706355787203023</v>
      </c>
      <c r="M27" s="160">
        <f t="shared" si="1"/>
        <v>59.706355787203009</v>
      </c>
      <c r="N27" s="159">
        <f t="shared" si="2"/>
        <v>5.6723469999999998E-2</v>
      </c>
      <c r="O27" s="159">
        <f t="shared" si="3"/>
        <v>5.6723469999999998E-2</v>
      </c>
      <c r="Q27" s="161">
        <f t="shared" si="4"/>
        <v>113.44694</v>
      </c>
      <c r="R27" s="161">
        <f t="shared" si="5"/>
        <v>56.723469999999999</v>
      </c>
      <c r="S27" s="161">
        <f t="shared" si="6"/>
        <v>56.723469999999999</v>
      </c>
    </row>
    <row r="28" spans="1:19" s="86" customFormat="1">
      <c r="A28" s="65" t="s">
        <v>438</v>
      </c>
      <c r="B28" s="66" t="s">
        <v>333</v>
      </c>
      <c r="C28" s="190" t="s">
        <v>216</v>
      </c>
      <c r="D28" s="112" t="s">
        <v>543</v>
      </c>
      <c r="E28" s="113" t="s">
        <v>502</v>
      </c>
      <c r="F28" s="69">
        <v>9.4660153999999996E-2</v>
      </c>
      <c r="G28" s="119">
        <v>120.90993868895241</v>
      </c>
      <c r="H28" s="124">
        <v>4.7330076999999998E-2</v>
      </c>
      <c r="I28" s="125">
        <v>0.14199023099999999</v>
      </c>
      <c r="J28" s="126">
        <v>60.454969344476204</v>
      </c>
      <c r="K28" s="127">
        <v>181.36490803342861</v>
      </c>
      <c r="L28" s="160">
        <f t="shared" ref="L28:L49" si="7">K28-G28</f>
        <v>60.454969344476197</v>
      </c>
      <c r="M28" s="160">
        <f t="shared" si="1"/>
        <v>60.454969344476204</v>
      </c>
      <c r="N28" s="159">
        <f t="shared" si="2"/>
        <v>4.7330076999999998E-2</v>
      </c>
      <c r="O28" s="159">
        <f t="shared" si="3"/>
        <v>4.7330076999999998E-2</v>
      </c>
      <c r="Q28" s="161">
        <f t="shared" si="4"/>
        <v>94.660153999999991</v>
      </c>
      <c r="R28" s="161">
        <f t="shared" si="5"/>
        <v>47.330076999999996</v>
      </c>
      <c r="S28" s="161">
        <f t="shared" si="6"/>
        <v>47.330076999999996</v>
      </c>
    </row>
    <row r="29" spans="1:19" s="86" customFormat="1">
      <c r="A29" s="65" t="s">
        <v>438</v>
      </c>
      <c r="B29" s="66" t="s">
        <v>334</v>
      </c>
      <c r="C29" s="190" t="s">
        <v>216</v>
      </c>
      <c r="D29" s="112" t="s">
        <v>544</v>
      </c>
      <c r="E29" s="113" t="s">
        <v>503</v>
      </c>
      <c r="F29" s="69">
        <v>0.10281868</v>
      </c>
      <c r="G29" s="119">
        <v>129.8336285903012</v>
      </c>
      <c r="H29" s="124">
        <v>5.1409339999999998E-2</v>
      </c>
      <c r="I29" s="125">
        <v>0.15422801999999999</v>
      </c>
      <c r="J29" s="126">
        <v>64.916814295150601</v>
      </c>
      <c r="K29" s="127">
        <v>194.7504428854518</v>
      </c>
      <c r="L29" s="160">
        <f t="shared" si="7"/>
        <v>64.916814295150601</v>
      </c>
      <c r="M29" s="160">
        <f t="shared" si="1"/>
        <v>64.916814295150601</v>
      </c>
      <c r="N29" s="159">
        <f t="shared" si="2"/>
        <v>5.1409339999999998E-2</v>
      </c>
      <c r="O29" s="159">
        <f t="shared" si="3"/>
        <v>5.1409339999999998E-2</v>
      </c>
      <c r="Q29" s="161">
        <f t="shared" si="4"/>
        <v>102.81868</v>
      </c>
      <c r="R29" s="161">
        <f t="shared" si="5"/>
        <v>51.40934</v>
      </c>
      <c r="S29" s="161">
        <f t="shared" si="6"/>
        <v>51.40934</v>
      </c>
    </row>
    <row r="30" spans="1:19" s="71" customFormat="1">
      <c r="A30" s="65" t="s">
        <v>38</v>
      </c>
      <c r="B30" s="66" t="s">
        <v>113</v>
      </c>
      <c r="C30" s="191" t="s">
        <v>222</v>
      </c>
      <c r="D30" s="112" t="s">
        <v>528</v>
      </c>
      <c r="E30" s="113" t="s">
        <v>489</v>
      </c>
      <c r="F30" s="69">
        <v>0.10280913999999999</v>
      </c>
      <c r="G30" s="119">
        <v>139.6695278322868</v>
      </c>
      <c r="H30" s="124">
        <v>7.1966398000000001E-2</v>
      </c>
      <c r="I30" s="125">
        <v>0.133651882</v>
      </c>
      <c r="J30" s="126">
        <v>97.768669482600757</v>
      </c>
      <c r="K30" s="127">
        <v>181.57038618197285</v>
      </c>
      <c r="L30" s="160">
        <f t="shared" si="7"/>
        <v>41.900858349686047</v>
      </c>
      <c r="M30" s="160">
        <f t="shared" si="1"/>
        <v>41.900858349686047</v>
      </c>
      <c r="N30" s="159">
        <f t="shared" si="2"/>
        <v>3.0842742000000006E-2</v>
      </c>
      <c r="O30" s="159">
        <f t="shared" si="3"/>
        <v>3.0842741999999992E-2</v>
      </c>
      <c r="Q30" s="161">
        <f t="shared" si="4"/>
        <v>102.80914</v>
      </c>
      <c r="R30" s="161">
        <f t="shared" si="5"/>
        <v>30.842742000000005</v>
      </c>
      <c r="S30" s="161">
        <f t="shared" si="6"/>
        <v>30.842741999999994</v>
      </c>
    </row>
    <row r="31" spans="1:19" s="71" customFormat="1">
      <c r="A31" s="65" t="s">
        <v>438</v>
      </c>
      <c r="B31" s="66" t="s">
        <v>303</v>
      </c>
      <c r="C31" s="187" t="s">
        <v>310</v>
      </c>
      <c r="D31" s="112" t="s">
        <v>556</v>
      </c>
      <c r="E31" s="113" t="s">
        <v>513</v>
      </c>
      <c r="F31" s="69">
        <v>0.20564112000000001</v>
      </c>
      <c r="G31" s="119">
        <v>250.05149659710594</v>
      </c>
      <c r="H31" s="124">
        <v>0.10282056000000001</v>
      </c>
      <c r="I31" s="125">
        <v>0.41128224000000002</v>
      </c>
      <c r="J31" s="126">
        <v>125.02574829855297</v>
      </c>
      <c r="K31" s="127">
        <v>500.10299319421188</v>
      </c>
      <c r="L31" s="160">
        <f t="shared" si="7"/>
        <v>250.05149659710594</v>
      </c>
      <c r="M31" s="160">
        <f t="shared" si="1"/>
        <v>125.02574829855297</v>
      </c>
      <c r="N31" s="159">
        <f t="shared" si="2"/>
        <v>0.20564112000000001</v>
      </c>
      <c r="O31" s="159">
        <f t="shared" si="3"/>
        <v>0.10282056000000001</v>
      </c>
      <c r="Q31" s="161">
        <f t="shared" si="4"/>
        <v>205.64112</v>
      </c>
      <c r="R31" s="161">
        <f t="shared" si="5"/>
        <v>205.64112</v>
      </c>
      <c r="S31" s="161">
        <f t="shared" si="6"/>
        <v>102.82056</v>
      </c>
    </row>
    <row r="32" spans="1:19" s="71" customFormat="1">
      <c r="A32" s="65" t="s">
        <v>438</v>
      </c>
      <c r="B32" s="66" t="s">
        <v>305</v>
      </c>
      <c r="C32" s="190" t="s">
        <v>216</v>
      </c>
      <c r="D32" s="112" t="s">
        <v>545</v>
      </c>
      <c r="E32" s="113" t="s">
        <v>504</v>
      </c>
      <c r="F32" s="69">
        <v>0.24483116999999999</v>
      </c>
      <c r="G32" s="119">
        <v>273.02443577691753</v>
      </c>
      <c r="H32" s="124">
        <v>0.12241558499999999</v>
      </c>
      <c r="I32" s="125">
        <v>0.36724675499999998</v>
      </c>
      <c r="J32" s="126">
        <v>136.51221788845876</v>
      </c>
      <c r="K32" s="127">
        <v>409.53665366537632</v>
      </c>
      <c r="L32" s="160">
        <f t="shared" si="7"/>
        <v>136.51221788845879</v>
      </c>
      <c r="M32" s="160">
        <f t="shared" si="1"/>
        <v>136.51221788845876</v>
      </c>
      <c r="N32" s="159">
        <f t="shared" si="2"/>
        <v>0.12241558499999999</v>
      </c>
      <c r="O32" s="159">
        <f t="shared" si="3"/>
        <v>0.12241558499999999</v>
      </c>
      <c r="Q32" s="161">
        <f t="shared" si="4"/>
        <v>244.83116999999999</v>
      </c>
      <c r="R32" s="161">
        <f t="shared" si="5"/>
        <v>122.41558499999999</v>
      </c>
      <c r="S32" s="161">
        <f t="shared" si="6"/>
        <v>122.41558499999999</v>
      </c>
    </row>
    <row r="33" spans="1:19" s="71" customFormat="1">
      <c r="A33" s="65" t="s">
        <v>38</v>
      </c>
      <c r="B33" s="66" t="s">
        <v>195</v>
      </c>
      <c r="C33" s="187" t="s">
        <v>307</v>
      </c>
      <c r="D33" s="112" t="s">
        <v>553</v>
      </c>
      <c r="E33" s="113" t="s">
        <v>510</v>
      </c>
      <c r="F33" s="69">
        <v>0.15890000000000001</v>
      </c>
      <c r="G33" s="119">
        <v>298.38669374595929</v>
      </c>
      <c r="H33" s="124">
        <v>7.9450000000000007E-2</v>
      </c>
      <c r="I33" s="125">
        <v>0.31780000000000003</v>
      </c>
      <c r="J33" s="126">
        <v>149.19334687297965</v>
      </c>
      <c r="K33" s="127">
        <v>596.77338749191858</v>
      </c>
      <c r="L33" s="160">
        <f t="shared" si="7"/>
        <v>298.38669374595929</v>
      </c>
      <c r="M33" s="160">
        <f t="shared" si="1"/>
        <v>149.19334687297965</v>
      </c>
      <c r="N33" s="159">
        <f t="shared" si="2"/>
        <v>0.15890000000000001</v>
      </c>
      <c r="O33" s="159">
        <f t="shared" si="3"/>
        <v>7.9450000000000007E-2</v>
      </c>
      <c r="Q33" s="161">
        <f t="shared" si="4"/>
        <v>158.9</v>
      </c>
      <c r="R33" s="161">
        <f t="shared" si="5"/>
        <v>158.9</v>
      </c>
      <c r="S33" s="161">
        <f t="shared" si="6"/>
        <v>79.45</v>
      </c>
    </row>
    <row r="34" spans="1:19" s="71" customFormat="1">
      <c r="A34" s="89" t="s">
        <v>456</v>
      </c>
      <c r="B34" s="84" t="s">
        <v>44</v>
      </c>
      <c r="C34" s="191" t="s">
        <v>199</v>
      </c>
      <c r="D34" s="112" t="s">
        <v>532</v>
      </c>
      <c r="E34" s="113" t="s">
        <v>490</v>
      </c>
      <c r="F34" s="69">
        <v>0.32056327000000001</v>
      </c>
      <c r="G34" s="119">
        <v>377.3963270941411</v>
      </c>
      <c r="H34" s="124">
        <v>0.22439428900000002</v>
      </c>
      <c r="I34" s="125">
        <v>0.416732251</v>
      </c>
      <c r="J34" s="126">
        <v>264.1774289658988</v>
      </c>
      <c r="K34" s="127">
        <v>490.6152252223834</v>
      </c>
      <c r="L34" s="160">
        <f t="shared" si="7"/>
        <v>113.2188981282423</v>
      </c>
      <c r="M34" s="160">
        <f t="shared" si="1"/>
        <v>113.2188981282423</v>
      </c>
      <c r="N34" s="159">
        <f t="shared" si="2"/>
        <v>9.6168980999999987E-2</v>
      </c>
      <c r="O34" s="159">
        <f t="shared" si="3"/>
        <v>9.6168980999999987E-2</v>
      </c>
      <c r="Q34" s="161">
        <f t="shared" si="4"/>
        <v>320.56326999999999</v>
      </c>
      <c r="R34" s="161">
        <f t="shared" si="5"/>
        <v>96.168980999999988</v>
      </c>
      <c r="S34" s="161">
        <f t="shared" si="6"/>
        <v>96.168980999999988</v>
      </c>
    </row>
    <row r="35" spans="1:19" s="71" customFormat="1">
      <c r="A35" s="65" t="s">
        <v>1</v>
      </c>
      <c r="B35" s="66" t="s">
        <v>3</v>
      </c>
      <c r="C35" s="191" t="s">
        <v>199</v>
      </c>
      <c r="D35" s="112" t="s">
        <v>527</v>
      </c>
      <c r="E35" s="113" t="s">
        <v>488</v>
      </c>
      <c r="F35" s="69">
        <v>0.12650078000000001</v>
      </c>
      <c r="G35" s="119">
        <v>395.68398394124301</v>
      </c>
      <c r="H35" s="124">
        <v>8.8550546000000008E-2</v>
      </c>
      <c r="I35" s="125">
        <v>0.16445101400000001</v>
      </c>
      <c r="J35" s="126">
        <v>276.97878875887011</v>
      </c>
      <c r="K35" s="127">
        <v>514.38917912361592</v>
      </c>
      <c r="L35" s="160">
        <f t="shared" si="7"/>
        <v>118.7051951823729</v>
      </c>
      <c r="M35" s="160">
        <f t="shared" si="1"/>
        <v>118.7051951823729</v>
      </c>
      <c r="N35" s="159">
        <f t="shared" si="2"/>
        <v>3.7950233999999999E-2</v>
      </c>
      <c r="O35" s="159">
        <f t="shared" si="3"/>
        <v>3.7950233999999999E-2</v>
      </c>
      <c r="Q35" s="161">
        <f t="shared" si="4"/>
        <v>126.50078000000001</v>
      </c>
      <c r="R35" s="161">
        <f t="shared" si="5"/>
        <v>37.950234000000002</v>
      </c>
      <c r="S35" s="161">
        <f t="shared" si="6"/>
        <v>37.950234000000002</v>
      </c>
    </row>
    <row r="36" spans="1:19" s="71" customFormat="1">
      <c r="A36" s="65" t="s">
        <v>38</v>
      </c>
      <c r="B36" s="66" t="s">
        <v>19</v>
      </c>
      <c r="C36" s="191" t="s">
        <v>236</v>
      </c>
      <c r="D36" s="112" t="s">
        <v>529</v>
      </c>
      <c r="E36" s="113" t="s">
        <v>482</v>
      </c>
      <c r="F36" s="69">
        <v>0.51648035999999997</v>
      </c>
      <c r="G36" s="119">
        <v>862.12903767869295</v>
      </c>
      <c r="H36" s="124">
        <v>0.36153625199999995</v>
      </c>
      <c r="I36" s="125">
        <v>0.671424468</v>
      </c>
      <c r="J36" s="126">
        <v>603.49032637508503</v>
      </c>
      <c r="K36" s="127">
        <v>1120.7677489823009</v>
      </c>
      <c r="L36" s="160">
        <f t="shared" si="7"/>
        <v>258.63871130360792</v>
      </c>
      <c r="M36" s="160">
        <f t="shared" si="1"/>
        <v>258.63871130360792</v>
      </c>
      <c r="N36" s="159">
        <f t="shared" si="2"/>
        <v>0.15494410800000002</v>
      </c>
      <c r="O36" s="159">
        <f t="shared" si="3"/>
        <v>0.15494410800000002</v>
      </c>
      <c r="Q36" s="161">
        <f t="shared" si="4"/>
        <v>516.48036000000002</v>
      </c>
      <c r="R36" s="161">
        <f t="shared" si="5"/>
        <v>154.94410800000003</v>
      </c>
      <c r="S36" s="161">
        <f t="shared" si="6"/>
        <v>154.94410800000003</v>
      </c>
    </row>
    <row r="37" spans="1:19" s="71" customFormat="1">
      <c r="A37" s="65" t="s">
        <v>1</v>
      </c>
      <c r="B37" s="66" t="s">
        <v>59</v>
      </c>
      <c r="C37" s="187" t="s">
        <v>200</v>
      </c>
      <c r="D37" s="112" t="s">
        <v>551</v>
      </c>
      <c r="E37" s="113" t="s">
        <v>508</v>
      </c>
      <c r="F37" s="69">
        <v>0.25401742999999999</v>
      </c>
      <c r="G37" s="119">
        <v>980.50611467598947</v>
      </c>
      <c r="H37" s="124">
        <v>0.12700871499999999</v>
      </c>
      <c r="I37" s="125">
        <v>0.50803485999999998</v>
      </c>
      <c r="J37" s="126">
        <v>490.25305733799473</v>
      </c>
      <c r="K37" s="127">
        <v>1961.0122293519789</v>
      </c>
      <c r="L37" s="160">
        <f t="shared" si="7"/>
        <v>980.50611467598947</v>
      </c>
      <c r="M37" s="160">
        <f t="shared" si="1"/>
        <v>490.25305733799473</v>
      </c>
      <c r="N37" s="159">
        <f t="shared" si="2"/>
        <v>0.25401742999999999</v>
      </c>
      <c r="O37" s="159">
        <f t="shared" si="3"/>
        <v>0.12700871499999999</v>
      </c>
      <c r="Q37" s="161">
        <f t="shared" si="4"/>
        <v>254.01742999999999</v>
      </c>
      <c r="R37" s="161">
        <f t="shared" si="5"/>
        <v>254.01742999999999</v>
      </c>
      <c r="S37" s="161">
        <f t="shared" si="6"/>
        <v>127.008715</v>
      </c>
    </row>
    <row r="38" spans="1:19" s="71" customFormat="1">
      <c r="A38" s="65" t="s">
        <v>38</v>
      </c>
      <c r="B38" s="66" t="s">
        <v>253</v>
      </c>
      <c r="C38" s="187" t="s">
        <v>308</v>
      </c>
      <c r="D38" s="112" t="s">
        <v>560</v>
      </c>
      <c r="E38" s="113" t="s">
        <v>519</v>
      </c>
      <c r="F38" s="69">
        <v>2.8064467</v>
      </c>
      <c r="G38" s="119">
        <v>2254.4955109512716</v>
      </c>
      <c r="H38" s="124">
        <v>0.56128933999999997</v>
      </c>
      <c r="I38" s="125">
        <v>14.0322335</v>
      </c>
      <c r="J38" s="126">
        <v>450.89910219025433</v>
      </c>
      <c r="K38" s="127">
        <v>11272.477554756359</v>
      </c>
      <c r="L38" s="160">
        <f t="shared" si="7"/>
        <v>9017.9820438050865</v>
      </c>
      <c r="M38" s="160">
        <f t="shared" si="1"/>
        <v>1803.5964087610173</v>
      </c>
      <c r="N38" s="159">
        <f t="shared" si="2"/>
        <v>11.2257868</v>
      </c>
      <c r="O38" s="159">
        <f t="shared" si="3"/>
        <v>2.2451573599999999</v>
      </c>
      <c r="Q38" s="161">
        <f t="shared" si="4"/>
        <v>2806.4467</v>
      </c>
      <c r="R38" s="161">
        <f t="shared" si="5"/>
        <v>11225.7868</v>
      </c>
      <c r="S38" s="161">
        <f t="shared" si="6"/>
        <v>2245.1573599999997</v>
      </c>
    </row>
    <row r="39" spans="1:19" s="71" customFormat="1">
      <c r="A39" s="65" t="s">
        <v>439</v>
      </c>
      <c r="B39" s="66" t="s">
        <v>162</v>
      </c>
      <c r="C39" s="187" t="s">
        <v>309</v>
      </c>
      <c r="D39" s="112" t="s">
        <v>561</v>
      </c>
      <c r="E39" s="113" t="s">
        <v>518</v>
      </c>
      <c r="F39" s="69">
        <v>2.109</v>
      </c>
      <c r="G39" s="119">
        <v>2385.129922564201</v>
      </c>
      <c r="H39" s="124">
        <v>0.52725</v>
      </c>
      <c r="I39" s="125">
        <v>8.4359999999999999</v>
      </c>
      <c r="J39" s="126">
        <v>596.28248064105026</v>
      </c>
      <c r="K39" s="127">
        <v>9540.5196902568041</v>
      </c>
      <c r="L39" s="160">
        <f t="shared" si="7"/>
        <v>7155.3897676926026</v>
      </c>
      <c r="M39" s="160">
        <f t="shared" si="1"/>
        <v>1788.8474419231507</v>
      </c>
      <c r="N39" s="159">
        <f t="shared" si="2"/>
        <v>6.327</v>
      </c>
      <c r="O39" s="159">
        <f t="shared" si="3"/>
        <v>1.58175</v>
      </c>
      <c r="Q39" s="161">
        <f t="shared" si="4"/>
        <v>2109</v>
      </c>
      <c r="R39" s="161">
        <f t="shared" si="5"/>
        <v>6327</v>
      </c>
      <c r="S39" s="161">
        <f t="shared" si="6"/>
        <v>1581.75</v>
      </c>
    </row>
    <row r="40" spans="1:19" s="71" customFormat="1">
      <c r="A40" s="65" t="s">
        <v>439</v>
      </c>
      <c r="B40" s="66" t="s">
        <v>161</v>
      </c>
      <c r="C40" s="187" t="s">
        <v>309</v>
      </c>
      <c r="D40" s="112" t="s">
        <v>562</v>
      </c>
      <c r="E40" s="113" t="s">
        <v>517</v>
      </c>
      <c r="F40" s="69">
        <v>2.75</v>
      </c>
      <c r="G40" s="119">
        <v>3101.5891657669667</v>
      </c>
      <c r="H40" s="124">
        <v>0.6875</v>
      </c>
      <c r="I40" s="125">
        <v>11</v>
      </c>
      <c r="J40" s="126">
        <v>775.39729144174169</v>
      </c>
      <c r="K40" s="127">
        <v>12406.356663067867</v>
      </c>
      <c r="L40" s="160">
        <f t="shared" si="7"/>
        <v>9304.7674973008998</v>
      </c>
      <c r="M40" s="160">
        <f t="shared" si="1"/>
        <v>2326.1918743252249</v>
      </c>
      <c r="N40" s="159">
        <f t="shared" si="2"/>
        <v>8.25</v>
      </c>
      <c r="O40" s="159">
        <f t="shared" si="3"/>
        <v>2.0625</v>
      </c>
      <c r="Q40" s="161">
        <f t="shared" si="4"/>
        <v>2750</v>
      </c>
      <c r="R40" s="161">
        <f t="shared" si="5"/>
        <v>8250</v>
      </c>
      <c r="S40" s="161">
        <f t="shared" si="6"/>
        <v>2062.5</v>
      </c>
    </row>
    <row r="41" spans="1:19" s="71" customFormat="1">
      <c r="A41" s="65" t="s">
        <v>439</v>
      </c>
      <c r="B41" s="66" t="s">
        <v>46</v>
      </c>
      <c r="C41" s="187" t="s">
        <v>200</v>
      </c>
      <c r="D41" s="112" t="s">
        <v>548</v>
      </c>
      <c r="E41" s="113" t="s">
        <v>505</v>
      </c>
      <c r="F41" s="69">
        <v>5.6204077000000003</v>
      </c>
      <c r="G41" s="119">
        <v>7626.3133806981032</v>
      </c>
      <c r="H41" s="124">
        <v>2.8102038500000002</v>
      </c>
      <c r="I41" s="125">
        <v>11.240815400000001</v>
      </c>
      <c r="J41" s="126">
        <v>3813.1566903490516</v>
      </c>
      <c r="K41" s="127">
        <v>15252.626761396206</v>
      </c>
      <c r="L41" s="160">
        <f t="shared" si="7"/>
        <v>7626.3133806981032</v>
      </c>
      <c r="M41" s="160">
        <f t="shared" si="1"/>
        <v>3813.1566903490516</v>
      </c>
      <c r="N41" s="159">
        <f t="shared" si="2"/>
        <v>5.6204077000000003</v>
      </c>
      <c r="O41" s="159">
        <f t="shared" si="3"/>
        <v>2.8102038500000002</v>
      </c>
      <c r="Q41" s="161">
        <f t="shared" si="4"/>
        <v>5620.4077000000007</v>
      </c>
      <c r="R41" s="161">
        <f t="shared" si="5"/>
        <v>5620.4077000000007</v>
      </c>
      <c r="S41" s="161">
        <f t="shared" si="6"/>
        <v>2810.2038500000003</v>
      </c>
    </row>
    <row r="42" spans="1:19" s="71" customFormat="1">
      <c r="A42" s="65" t="s">
        <v>439</v>
      </c>
      <c r="B42" s="66" t="s">
        <v>54</v>
      </c>
      <c r="C42" s="187" t="s">
        <v>200</v>
      </c>
      <c r="D42" s="112" t="s">
        <v>548</v>
      </c>
      <c r="E42" s="113" t="s">
        <v>505</v>
      </c>
      <c r="F42" s="69">
        <v>5.6809501999999998</v>
      </c>
      <c r="G42" s="119">
        <v>7694.5904610586485</v>
      </c>
      <c r="H42" s="124">
        <v>2.8404750999999999</v>
      </c>
      <c r="I42" s="125">
        <v>11.3619004</v>
      </c>
      <c r="J42" s="126">
        <v>3847.2952305293243</v>
      </c>
      <c r="K42" s="127">
        <v>15389.180922117297</v>
      </c>
      <c r="L42" s="160">
        <f t="shared" si="7"/>
        <v>7694.5904610586485</v>
      </c>
      <c r="M42" s="160">
        <f t="shared" si="1"/>
        <v>3847.2952305293243</v>
      </c>
      <c r="N42" s="159">
        <f t="shared" si="2"/>
        <v>5.6809501999999998</v>
      </c>
      <c r="O42" s="159">
        <f t="shared" si="3"/>
        <v>2.8404750999999999</v>
      </c>
      <c r="Q42" s="161">
        <f t="shared" si="4"/>
        <v>5680.9502000000002</v>
      </c>
      <c r="R42" s="161">
        <f t="shared" si="5"/>
        <v>5680.9502000000002</v>
      </c>
      <c r="S42" s="161">
        <f t="shared" si="6"/>
        <v>2840.4751000000001</v>
      </c>
    </row>
    <row r="43" spans="1:19" s="71" customFormat="1">
      <c r="A43" s="65" t="s">
        <v>1</v>
      </c>
      <c r="B43" s="66" t="s">
        <v>23</v>
      </c>
      <c r="C43" s="190" t="s">
        <v>371</v>
      </c>
      <c r="D43" s="112" t="s">
        <v>477</v>
      </c>
      <c r="E43" s="113" t="s">
        <v>496</v>
      </c>
      <c r="F43" s="69">
        <v>10.735939</v>
      </c>
      <c r="G43" s="119">
        <v>21772.270294396087</v>
      </c>
      <c r="H43" s="124">
        <v>5.3679695000000001</v>
      </c>
      <c r="I43" s="125">
        <v>16.103908499999999</v>
      </c>
      <c r="J43" s="126">
        <v>10886.135147198043</v>
      </c>
      <c r="K43" s="127">
        <v>32658.405441594128</v>
      </c>
      <c r="L43" s="160">
        <f t="shared" si="7"/>
        <v>10886.135147198042</v>
      </c>
      <c r="M43" s="160">
        <f t="shared" si="1"/>
        <v>10886.135147198043</v>
      </c>
      <c r="N43" s="159">
        <f t="shared" si="2"/>
        <v>5.3679694999999992</v>
      </c>
      <c r="O43" s="159">
        <f t="shared" si="3"/>
        <v>5.3679695000000001</v>
      </c>
      <c r="Q43" s="161">
        <f t="shared" si="4"/>
        <v>10735.939</v>
      </c>
      <c r="R43" s="161">
        <f t="shared" si="5"/>
        <v>5367.9694999999992</v>
      </c>
      <c r="S43" s="161">
        <f t="shared" si="6"/>
        <v>5367.9695000000002</v>
      </c>
    </row>
    <row r="44" spans="1:19" s="71" customFormat="1">
      <c r="A44" s="65" t="s">
        <v>1</v>
      </c>
      <c r="B44" s="66" t="s">
        <v>25</v>
      </c>
      <c r="C44" s="190" t="s">
        <v>216</v>
      </c>
      <c r="D44" s="112" t="s">
        <v>538</v>
      </c>
      <c r="E44" s="113" t="s">
        <v>494</v>
      </c>
      <c r="F44" s="69">
        <v>11.481553</v>
      </c>
      <c r="G44" s="119">
        <v>22788.237501757012</v>
      </c>
      <c r="H44" s="124">
        <v>5.7407764999999999</v>
      </c>
      <c r="I44" s="125">
        <v>17.222329500000001</v>
      </c>
      <c r="J44" s="126">
        <v>11394.118750878506</v>
      </c>
      <c r="K44" s="127">
        <v>34182.356252635516</v>
      </c>
      <c r="L44" s="160">
        <f t="shared" si="7"/>
        <v>11394.118750878504</v>
      </c>
      <c r="M44" s="160">
        <f t="shared" si="1"/>
        <v>11394.118750878506</v>
      </c>
      <c r="N44" s="159">
        <f t="shared" si="2"/>
        <v>5.7407765000000008</v>
      </c>
      <c r="O44" s="159">
        <f t="shared" si="3"/>
        <v>5.7407764999999999</v>
      </c>
      <c r="Q44" s="161">
        <f t="shared" si="4"/>
        <v>11481.553</v>
      </c>
      <c r="R44" s="161">
        <f t="shared" si="5"/>
        <v>5740.7765000000009</v>
      </c>
      <c r="S44" s="161">
        <f t="shared" si="6"/>
        <v>5740.7764999999999</v>
      </c>
    </row>
    <row r="45" spans="1:19" s="71" customFormat="1">
      <c r="A45" s="65" t="s">
        <v>1</v>
      </c>
      <c r="B45" s="66" t="s">
        <v>85</v>
      </c>
      <c r="C45" s="187" t="s">
        <v>200</v>
      </c>
      <c r="D45" s="112" t="s">
        <v>552</v>
      </c>
      <c r="E45" s="113" t="s">
        <v>509</v>
      </c>
      <c r="F45" s="69">
        <v>14.265369</v>
      </c>
      <c r="G45" s="119">
        <v>27193.917519690509</v>
      </c>
      <c r="H45" s="124">
        <v>7.1326844999999999</v>
      </c>
      <c r="I45" s="125">
        <v>28.530737999999999</v>
      </c>
      <c r="J45" s="126">
        <v>13596.958759845254</v>
      </c>
      <c r="K45" s="127">
        <v>54387.835039381018</v>
      </c>
      <c r="L45" s="160">
        <f t="shared" si="7"/>
        <v>27193.917519690509</v>
      </c>
      <c r="M45" s="160">
        <f t="shared" si="1"/>
        <v>13596.958759845254</v>
      </c>
      <c r="N45" s="159">
        <f t="shared" si="2"/>
        <v>14.265369</v>
      </c>
      <c r="O45" s="159">
        <f t="shared" si="3"/>
        <v>7.1326844999999999</v>
      </c>
      <c r="Q45" s="161">
        <f t="shared" si="4"/>
        <v>14265.369000000001</v>
      </c>
      <c r="R45" s="161">
        <f t="shared" si="5"/>
        <v>14265.369000000001</v>
      </c>
      <c r="S45" s="161">
        <f t="shared" si="6"/>
        <v>7132.6845000000003</v>
      </c>
    </row>
    <row r="46" spans="1:19" s="71" customFormat="1">
      <c r="A46" s="65" t="s">
        <v>1</v>
      </c>
      <c r="B46" s="66" t="s">
        <v>24</v>
      </c>
      <c r="C46" s="190" t="s">
        <v>371</v>
      </c>
      <c r="D46" s="112" t="s">
        <v>539</v>
      </c>
      <c r="E46" s="113" t="s">
        <v>495</v>
      </c>
      <c r="F46" s="69">
        <v>32.207816999999999</v>
      </c>
      <c r="G46" s="119">
        <v>65316.81096258825</v>
      </c>
      <c r="H46" s="124">
        <v>16.103908499999999</v>
      </c>
      <c r="I46" s="125">
        <v>48.311725499999994</v>
      </c>
      <c r="J46" s="126">
        <v>32658.405481294125</v>
      </c>
      <c r="K46" s="127">
        <v>97975.216443882382</v>
      </c>
      <c r="L46" s="160">
        <f t="shared" si="7"/>
        <v>32658.405481294132</v>
      </c>
      <c r="M46" s="160">
        <f t="shared" si="1"/>
        <v>32658.405481294125</v>
      </c>
      <c r="N46" s="159">
        <f t="shared" si="2"/>
        <v>16.103908499999996</v>
      </c>
      <c r="O46" s="159">
        <f t="shared" si="3"/>
        <v>16.103908499999999</v>
      </c>
      <c r="Q46" s="161">
        <f t="shared" si="4"/>
        <v>32207.816999999999</v>
      </c>
      <c r="R46" s="161">
        <f t="shared" si="5"/>
        <v>16103.908499999996</v>
      </c>
      <c r="S46" s="161">
        <f t="shared" si="6"/>
        <v>16103.9085</v>
      </c>
    </row>
    <row r="47" spans="1:19" s="71" customFormat="1">
      <c r="A47" s="65" t="s">
        <v>456</v>
      </c>
      <c r="B47" s="66" t="s">
        <v>31</v>
      </c>
      <c r="C47" s="191" t="s">
        <v>199</v>
      </c>
      <c r="D47" s="112" t="s">
        <v>531</v>
      </c>
      <c r="E47" s="113" t="s">
        <v>484</v>
      </c>
      <c r="F47" s="69">
        <v>775.54660000000001</v>
      </c>
      <c r="G47" s="119">
        <v>507526.39109325997</v>
      </c>
      <c r="H47" s="124">
        <v>542.88262000000009</v>
      </c>
      <c r="I47" s="125">
        <v>1008.2105799999999</v>
      </c>
      <c r="J47" s="126">
        <v>355268.47376528196</v>
      </c>
      <c r="K47" s="127">
        <v>659784.30842123798</v>
      </c>
      <c r="L47" s="160">
        <f t="shared" si="7"/>
        <v>152257.91732797801</v>
      </c>
      <c r="M47" s="160">
        <f t="shared" si="1"/>
        <v>152257.91732797801</v>
      </c>
      <c r="N47" s="159">
        <f t="shared" si="2"/>
        <v>232.66397999999992</v>
      </c>
      <c r="O47" s="159">
        <f t="shared" si="3"/>
        <v>232.66397999999992</v>
      </c>
      <c r="Q47" s="161">
        <f t="shared" si="4"/>
        <v>775546.6</v>
      </c>
      <c r="R47" s="161">
        <f t="shared" si="5"/>
        <v>232663.97999999992</v>
      </c>
      <c r="S47" s="161">
        <f t="shared" si="6"/>
        <v>232663.97999999992</v>
      </c>
    </row>
    <row r="48" spans="1:19" s="71" customFormat="1">
      <c r="A48" s="65" t="s">
        <v>456</v>
      </c>
      <c r="B48" s="66" t="s">
        <v>2</v>
      </c>
      <c r="C48" s="191" t="s">
        <v>201</v>
      </c>
      <c r="D48" s="112" t="s">
        <v>522</v>
      </c>
      <c r="E48" s="113" t="s">
        <v>479</v>
      </c>
      <c r="F48" s="69">
        <v>679.59412999999995</v>
      </c>
      <c r="G48" s="119">
        <v>800080.21498625923</v>
      </c>
      <c r="H48" s="124">
        <v>543.67530399999998</v>
      </c>
      <c r="I48" s="125">
        <v>815.51295599999992</v>
      </c>
      <c r="J48" s="126">
        <v>640064.17198900739</v>
      </c>
      <c r="K48" s="127">
        <v>960096.25798351108</v>
      </c>
      <c r="L48" s="160">
        <f t="shared" si="7"/>
        <v>160016.04299725185</v>
      </c>
      <c r="M48" s="160">
        <f t="shared" si="1"/>
        <v>160016.04299725185</v>
      </c>
      <c r="N48" s="159">
        <f t="shared" si="2"/>
        <v>135.91882599999997</v>
      </c>
      <c r="O48" s="159">
        <f t="shared" si="3"/>
        <v>135.91882599999997</v>
      </c>
      <c r="Q48" s="161">
        <f t="shared" si="4"/>
        <v>679594.13</v>
      </c>
      <c r="R48" s="161">
        <f t="shared" si="5"/>
        <v>135918.82599999997</v>
      </c>
      <c r="S48" s="161">
        <f t="shared" si="6"/>
        <v>135918.82599999997</v>
      </c>
    </row>
    <row r="49" spans="1:19" s="71" customFormat="1" ht="15" thickBot="1">
      <c r="A49" s="73" t="s">
        <v>456</v>
      </c>
      <c r="B49" s="74" t="s">
        <v>34</v>
      </c>
      <c r="C49" s="192" t="s">
        <v>199</v>
      </c>
      <c r="D49" s="116" t="s">
        <v>530</v>
      </c>
      <c r="E49" s="117" t="s">
        <v>483</v>
      </c>
      <c r="F49" s="77">
        <v>4285.6630999999998</v>
      </c>
      <c r="G49" s="120">
        <v>2506405.3195711151</v>
      </c>
      <c r="H49" s="130">
        <v>2999.9641700000002</v>
      </c>
      <c r="I49" s="131">
        <v>5571.3620299999993</v>
      </c>
      <c r="J49" s="132">
        <v>1754483.7236997806</v>
      </c>
      <c r="K49" s="133">
        <v>3258326.9154424495</v>
      </c>
      <c r="L49" s="160">
        <f t="shared" si="7"/>
        <v>751921.59587133443</v>
      </c>
      <c r="M49" s="160">
        <f t="shared" si="1"/>
        <v>751921.59587133443</v>
      </c>
      <c r="N49" s="159">
        <f t="shared" si="2"/>
        <v>1285.6989299999996</v>
      </c>
      <c r="O49" s="159">
        <f t="shared" si="3"/>
        <v>1285.6989299999996</v>
      </c>
      <c r="Q49" s="161">
        <f t="shared" si="4"/>
        <v>4285663.0999999996</v>
      </c>
      <c r="R49" s="161">
        <f t="shared" si="5"/>
        <v>1285698.9299999995</v>
      </c>
      <c r="S49" s="161">
        <f t="shared" si="6"/>
        <v>1285698.9299999995</v>
      </c>
    </row>
    <row r="51" spans="1:19">
      <c r="G51" s="71">
        <f>G40/5</f>
        <v>620.31783315339339</v>
      </c>
    </row>
  </sheetData>
  <autoFilter ref="A2:K2">
    <sortState ref="A3:K49">
      <sortCondition ref="G2"/>
    </sortState>
  </autoFilter>
  <mergeCells count="2">
    <mergeCell ref="H1:I1"/>
    <mergeCell ref="J1:K1"/>
  </mergeCells>
  <conditionalFormatting sqref="F2:G2">
    <cfRule type="dataBar" priority="4">
      <dataBar>
        <cfvo type="min"/>
        <cfvo type="max"/>
        <color rgb="FF638EC6"/>
      </dataBar>
      <extLst>
        <ext xmlns:x14="http://schemas.microsoft.com/office/spreadsheetml/2009/9/main" uri="{B025F937-C7B1-47D3-B67F-A62EFF666E3E}">
          <x14:id>{320C8EBF-DA76-8244-B753-4D671781202D}</x14:id>
        </ext>
      </extLst>
    </cfRule>
  </conditionalFormatting>
  <conditionalFormatting sqref="D2:E2">
    <cfRule type="dataBar" priority="3">
      <dataBar>
        <cfvo type="min"/>
        <cfvo type="max"/>
        <color rgb="FF638EC6"/>
      </dataBar>
      <extLst>
        <ext xmlns:x14="http://schemas.microsoft.com/office/spreadsheetml/2009/9/main" uri="{B025F937-C7B1-47D3-B67F-A62EFF666E3E}">
          <x14:id>{B11CC2BB-4FFE-F142-AF9D-3E50BA977AC9}</x14:id>
        </ext>
      </extLst>
    </cfRule>
  </conditionalFormatting>
  <conditionalFormatting sqref="H1">
    <cfRule type="dataBar" priority="2">
      <dataBar>
        <cfvo type="min"/>
        <cfvo type="max"/>
        <color rgb="FF638EC6"/>
      </dataBar>
      <extLst>
        <ext xmlns:x14="http://schemas.microsoft.com/office/spreadsheetml/2009/9/main" uri="{B025F937-C7B1-47D3-B67F-A62EFF666E3E}">
          <x14:id>{EBB58AF6-0A8E-4441-A4A0-4506CFD6097D}</x14:id>
        </ext>
      </extLst>
    </cfRule>
  </conditionalFormatting>
  <conditionalFormatting sqref="J1">
    <cfRule type="dataBar" priority="1">
      <dataBar>
        <cfvo type="min"/>
        <cfvo type="max"/>
        <color rgb="FF638EC6"/>
      </dataBar>
      <extLst>
        <ext xmlns:x14="http://schemas.microsoft.com/office/spreadsheetml/2009/9/main" uri="{B025F937-C7B1-47D3-B67F-A62EFF666E3E}">
          <x14:id>{C72E3AFE-CB82-3143-8B66-F33D31575FA9}</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20C8EBF-DA76-8244-B753-4D671781202D}">
            <x14:dataBar minLength="0" maxLength="100" border="1" negativeBarBorderColorSameAsPositive="0">
              <x14:cfvo type="autoMin"/>
              <x14:cfvo type="autoMax"/>
              <x14:borderColor rgb="FF638EC6"/>
              <x14:negativeFillColor rgb="FFFF0000"/>
              <x14:negativeBorderColor rgb="FFFF0000"/>
              <x14:axisColor rgb="FF000000"/>
            </x14:dataBar>
          </x14:cfRule>
          <xm:sqref>F2:G2</xm:sqref>
        </x14:conditionalFormatting>
        <x14:conditionalFormatting xmlns:xm="http://schemas.microsoft.com/office/excel/2006/main">
          <x14:cfRule type="dataBar" id="{B11CC2BB-4FFE-F142-AF9D-3E50BA977AC9}">
            <x14:dataBar minLength="0" maxLength="100" border="1" negativeBarBorderColorSameAsPositive="0">
              <x14:cfvo type="autoMin"/>
              <x14:cfvo type="autoMax"/>
              <x14:borderColor rgb="FF638EC6"/>
              <x14:negativeFillColor rgb="FFFF0000"/>
              <x14:negativeBorderColor rgb="FFFF0000"/>
              <x14:axisColor rgb="FF000000"/>
            </x14:dataBar>
          </x14:cfRule>
          <xm:sqref>D2:E2</xm:sqref>
        </x14:conditionalFormatting>
        <x14:conditionalFormatting xmlns:xm="http://schemas.microsoft.com/office/excel/2006/main">
          <x14:cfRule type="dataBar" id="{EBB58AF6-0A8E-4441-A4A0-4506CFD6097D}">
            <x14:dataBar minLength="0" maxLength="100" border="1" negativeBarBorderColorSameAsPositive="0">
              <x14:cfvo type="autoMin"/>
              <x14:cfvo type="autoMax"/>
              <x14:borderColor rgb="FF638EC6"/>
              <x14:negativeFillColor rgb="FFFF0000"/>
              <x14:negativeBorderColor rgb="FFFF0000"/>
              <x14:axisColor rgb="FF000000"/>
            </x14:dataBar>
          </x14:cfRule>
          <xm:sqref>H1</xm:sqref>
        </x14:conditionalFormatting>
        <x14:conditionalFormatting xmlns:xm="http://schemas.microsoft.com/office/excel/2006/main">
          <x14:cfRule type="dataBar" id="{C72E3AFE-CB82-3143-8B66-F33D31575FA9}">
            <x14:dataBar minLength="0" maxLength="100" border="1" negativeBarBorderColorSameAsPositive="0">
              <x14:cfvo type="autoMin"/>
              <x14:cfvo type="autoMax"/>
              <x14:borderColor rgb="FF638EC6"/>
              <x14:negativeFillColor rgb="FFFF0000"/>
              <x14:negativeBorderColor rgb="FFFF0000"/>
              <x14:axisColor rgb="FF000000"/>
            </x14:dataBar>
          </x14:cfRule>
          <xm:sqref>J1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50" zoomScaleNormal="50" workbookViewId="0">
      <pane xSplit="2" ySplit="2" topLeftCell="C3" activePane="bottomRight" state="frozen"/>
      <selection pane="topRight" activeCell="G1" sqref="G1"/>
      <selection pane="bottomLeft" activeCell="A3" sqref="A3"/>
      <selection pane="bottomRight" activeCell="Y49" sqref="Y49"/>
    </sheetView>
  </sheetViews>
  <sheetFormatPr baseColWidth="10" defaultColWidth="10.6328125" defaultRowHeight="14.5"/>
  <cols>
    <col min="1" max="1" width="14.453125" style="51" customWidth="1"/>
    <col min="2" max="2" width="47.81640625" style="79" customWidth="1"/>
    <col min="3" max="3" width="10.6328125" style="158" customWidth="1"/>
    <col min="4" max="4" width="16.1796875" style="144" customWidth="1"/>
    <col min="5" max="5" width="14.36328125" style="144" bestFit="1" customWidth="1"/>
    <col min="6" max="7" width="10.36328125" style="51" customWidth="1"/>
    <col min="8" max="11" width="9.36328125" style="145" customWidth="1"/>
    <col min="12" max="14" width="10.6328125" style="51"/>
    <col min="15" max="15" width="14.1796875" style="51" customWidth="1"/>
    <col min="16" max="16" width="11.81640625" style="51" bestFit="1" customWidth="1"/>
    <col min="17" max="16384" width="10.6328125" style="51"/>
  </cols>
  <sheetData>
    <row r="1" spans="1:18" ht="23.5">
      <c r="A1" s="56" t="s">
        <v>591</v>
      </c>
      <c r="B1" s="57"/>
      <c r="C1" s="153"/>
      <c r="D1" s="137"/>
      <c r="E1" s="138"/>
      <c r="F1" s="58"/>
      <c r="G1" s="59"/>
      <c r="H1" s="293" t="s">
        <v>60</v>
      </c>
      <c r="I1" s="294"/>
      <c r="J1" s="294" t="s">
        <v>611</v>
      </c>
      <c r="K1" s="295"/>
    </row>
    <row r="2" spans="1:18" s="64" customFormat="1">
      <c r="A2" s="60" t="s">
        <v>0</v>
      </c>
      <c r="B2" s="61" t="s">
        <v>147</v>
      </c>
      <c r="C2" s="154" t="s">
        <v>202</v>
      </c>
      <c r="D2" s="139" t="s">
        <v>60</v>
      </c>
      <c r="E2" s="140" t="s">
        <v>611</v>
      </c>
      <c r="F2" s="62" t="s">
        <v>60</v>
      </c>
      <c r="G2" s="63" t="s">
        <v>611</v>
      </c>
      <c r="H2" s="146" t="s">
        <v>563</v>
      </c>
      <c r="I2" s="147" t="s">
        <v>564</v>
      </c>
      <c r="J2" s="147" t="s">
        <v>563</v>
      </c>
      <c r="K2" s="148" t="s">
        <v>564</v>
      </c>
      <c r="L2" s="64" t="s">
        <v>612</v>
      </c>
      <c r="N2" s="64" t="s">
        <v>594</v>
      </c>
      <c r="P2" s="64" t="s">
        <v>596</v>
      </c>
    </row>
    <row r="3" spans="1:18" s="71" customFormat="1">
      <c r="A3" s="65" t="s">
        <v>437</v>
      </c>
      <c r="B3" s="66" t="s">
        <v>399</v>
      </c>
      <c r="C3" s="156">
        <v>2</v>
      </c>
      <c r="D3" s="141" t="s">
        <v>570</v>
      </c>
      <c r="E3" s="142" t="s">
        <v>583</v>
      </c>
      <c r="F3" s="136">
        <v>2.3910058E-4</v>
      </c>
      <c r="G3" s="135">
        <v>0.33099667958134404</v>
      </c>
      <c r="H3" s="151">
        <v>1.1955029E-4</v>
      </c>
      <c r="I3" s="151">
        <v>4.7820116E-4</v>
      </c>
      <c r="J3" s="152">
        <v>0.16549833979067202</v>
      </c>
      <c r="K3" s="152">
        <v>0.66199335916268809</v>
      </c>
      <c r="L3" s="160">
        <f>K3-G3</f>
        <v>0.33099667958134404</v>
      </c>
      <c r="M3" s="160">
        <f>G3-J3</f>
        <v>0.16549833979067202</v>
      </c>
      <c r="N3" s="162">
        <f>I3-F3</f>
        <v>2.3910058E-4</v>
      </c>
      <c r="O3" s="162">
        <f>F3-H3</f>
        <v>1.1955029E-4</v>
      </c>
      <c r="P3" s="160">
        <f>F3*1000</f>
        <v>0.23910058000000001</v>
      </c>
      <c r="Q3" s="71">
        <f>N3*1000</f>
        <v>0.23910058000000001</v>
      </c>
      <c r="R3" s="71">
        <f>O3*1000</f>
        <v>0.11955029</v>
      </c>
    </row>
    <row r="4" spans="1:18" s="71" customFormat="1">
      <c r="A4" s="65" t="s">
        <v>437</v>
      </c>
      <c r="B4" s="66" t="s">
        <v>387</v>
      </c>
      <c r="C4" s="156">
        <v>2</v>
      </c>
      <c r="D4" s="141" t="s">
        <v>569</v>
      </c>
      <c r="E4" s="142" t="s">
        <v>582</v>
      </c>
      <c r="F4" s="69">
        <v>9.2205654000000001E-3</v>
      </c>
      <c r="G4" s="70">
        <v>11.977133861136949</v>
      </c>
      <c r="H4" s="149">
        <v>4.6102827000000001E-3</v>
      </c>
      <c r="I4" s="149">
        <v>1.84411308E-2</v>
      </c>
      <c r="J4" s="150">
        <v>5.9885669305684743</v>
      </c>
      <c r="K4" s="150">
        <v>23.954267722273897</v>
      </c>
      <c r="L4" s="160">
        <f t="shared" ref="L4:L19" si="0">K4-G4</f>
        <v>11.977133861136949</v>
      </c>
      <c r="M4" s="160">
        <f t="shared" ref="M4:M19" si="1">G4-J4</f>
        <v>5.9885669305684743</v>
      </c>
      <c r="N4" s="162">
        <f t="shared" ref="N4:N19" si="2">I4-F4</f>
        <v>9.2205654000000001E-3</v>
      </c>
      <c r="O4" s="162">
        <f t="shared" ref="O4:O19" si="3">F4-H4</f>
        <v>4.6102827000000001E-3</v>
      </c>
      <c r="P4" s="160">
        <f t="shared" ref="P4:P19" si="4">F4*1000</f>
        <v>9.2205653999999999</v>
      </c>
      <c r="Q4" s="71">
        <f t="shared" ref="Q4:Q19" si="5">N4*1000</f>
        <v>9.2205653999999999</v>
      </c>
      <c r="R4" s="71">
        <f t="shared" ref="R4:R19" si="6">O4*1000</f>
        <v>4.6102827</v>
      </c>
    </row>
    <row r="5" spans="1:18" s="71" customFormat="1">
      <c r="A5" s="65" t="s">
        <v>437</v>
      </c>
      <c r="B5" s="66" t="s">
        <v>389</v>
      </c>
      <c r="C5" s="156">
        <v>2</v>
      </c>
      <c r="D5" s="141" t="s">
        <v>568</v>
      </c>
      <c r="E5" s="142" t="s">
        <v>581</v>
      </c>
      <c r="F5" s="69">
        <v>1.3372922000000001E-2</v>
      </c>
      <c r="G5" s="70">
        <v>13.465215331960669</v>
      </c>
      <c r="H5" s="149">
        <v>6.6864610000000003E-3</v>
      </c>
      <c r="I5" s="149">
        <v>2.6745844000000001E-2</v>
      </c>
      <c r="J5" s="150">
        <v>6.7326076659803347</v>
      </c>
      <c r="K5" s="150">
        <v>26.930430663921339</v>
      </c>
      <c r="L5" s="160">
        <f t="shared" si="0"/>
        <v>13.465215331960669</v>
      </c>
      <c r="M5" s="160">
        <f t="shared" si="1"/>
        <v>6.7326076659803347</v>
      </c>
      <c r="N5" s="162">
        <f t="shared" si="2"/>
        <v>1.3372922000000001E-2</v>
      </c>
      <c r="O5" s="162">
        <f t="shared" si="3"/>
        <v>6.6864610000000003E-3</v>
      </c>
      <c r="P5" s="160">
        <f t="shared" si="4"/>
        <v>13.372922000000001</v>
      </c>
      <c r="Q5" s="71">
        <f t="shared" si="5"/>
        <v>13.372922000000001</v>
      </c>
      <c r="R5" s="71">
        <f t="shared" si="6"/>
        <v>6.6864610000000004</v>
      </c>
    </row>
    <row r="6" spans="1:18" s="71" customFormat="1">
      <c r="A6" s="65" t="s">
        <v>437</v>
      </c>
      <c r="B6" s="66" t="s">
        <v>388</v>
      </c>
      <c r="C6" s="155">
        <v>0.5</v>
      </c>
      <c r="D6" s="141" t="s">
        <v>565</v>
      </c>
      <c r="E6" s="142" t="s">
        <v>578</v>
      </c>
      <c r="F6" s="69">
        <v>1.1167678E-2</v>
      </c>
      <c r="G6" s="70">
        <v>13.93633574224204</v>
      </c>
      <c r="H6" s="149">
        <v>5.5838390000000002E-3</v>
      </c>
      <c r="I6" s="149">
        <v>1.6751517E-2</v>
      </c>
      <c r="J6" s="150">
        <v>6.96816787112102</v>
      </c>
      <c r="K6" s="150">
        <v>20.904503613363062</v>
      </c>
      <c r="L6" s="160">
        <f t="shared" si="0"/>
        <v>6.9681678711210218</v>
      </c>
      <c r="M6" s="160">
        <f t="shared" si="1"/>
        <v>6.96816787112102</v>
      </c>
      <c r="N6" s="162">
        <f t="shared" si="2"/>
        <v>5.5838390000000002E-3</v>
      </c>
      <c r="O6" s="162">
        <f t="shared" si="3"/>
        <v>5.5838390000000002E-3</v>
      </c>
      <c r="P6" s="160">
        <f t="shared" si="4"/>
        <v>11.167678</v>
      </c>
      <c r="Q6" s="71">
        <f t="shared" si="5"/>
        <v>5.5838390000000002</v>
      </c>
      <c r="R6" s="71">
        <f t="shared" si="6"/>
        <v>5.5838390000000002</v>
      </c>
    </row>
    <row r="7" spans="1:18" s="71" customFormat="1">
      <c r="A7" s="65" t="s">
        <v>437</v>
      </c>
      <c r="B7" s="66" t="s">
        <v>447</v>
      </c>
      <c r="C7" s="156">
        <v>2</v>
      </c>
      <c r="D7" s="141" t="s">
        <v>571</v>
      </c>
      <c r="E7" s="142" t="s">
        <v>584</v>
      </c>
      <c r="F7" s="69">
        <v>1.2499263E-2</v>
      </c>
      <c r="G7" s="70">
        <v>15.2718451462299</v>
      </c>
      <c r="H7" s="149">
        <v>6.2496315E-3</v>
      </c>
      <c r="I7" s="149">
        <v>2.4998526E-2</v>
      </c>
      <c r="J7" s="150">
        <v>7.63592257311495</v>
      </c>
      <c r="K7" s="150">
        <v>30.5436902924598</v>
      </c>
      <c r="L7" s="160">
        <f t="shared" si="0"/>
        <v>15.2718451462299</v>
      </c>
      <c r="M7" s="160">
        <f t="shared" si="1"/>
        <v>7.63592257311495</v>
      </c>
      <c r="N7" s="162">
        <f t="shared" si="2"/>
        <v>1.2499263E-2</v>
      </c>
      <c r="O7" s="162">
        <f t="shared" si="3"/>
        <v>6.2496315E-3</v>
      </c>
      <c r="P7" s="160">
        <f t="shared" si="4"/>
        <v>12.499263000000001</v>
      </c>
      <c r="Q7" s="71">
        <f t="shared" si="5"/>
        <v>12.499263000000001</v>
      </c>
      <c r="R7" s="71">
        <f t="shared" si="6"/>
        <v>6.2496315000000005</v>
      </c>
    </row>
    <row r="8" spans="1:18" s="71" customFormat="1">
      <c r="A8" s="65" t="s">
        <v>438</v>
      </c>
      <c r="B8" s="66" t="s">
        <v>48</v>
      </c>
      <c r="C8" s="156">
        <v>2</v>
      </c>
      <c r="D8" s="141" t="s">
        <v>550</v>
      </c>
      <c r="E8" s="142" t="s">
        <v>584</v>
      </c>
      <c r="F8" s="69">
        <v>2.4259216E-2</v>
      </c>
      <c r="G8" s="70">
        <v>17.312235200913868</v>
      </c>
      <c r="H8" s="149">
        <v>1.2129608E-2</v>
      </c>
      <c r="I8" s="149">
        <v>4.8518432E-2</v>
      </c>
      <c r="J8" s="150">
        <v>8.656117600456934</v>
      </c>
      <c r="K8" s="150">
        <v>34.624470401827736</v>
      </c>
      <c r="L8" s="160">
        <f t="shared" si="0"/>
        <v>17.312235200913868</v>
      </c>
      <c r="M8" s="160">
        <f t="shared" si="1"/>
        <v>8.656117600456934</v>
      </c>
      <c r="N8" s="162">
        <f t="shared" si="2"/>
        <v>2.4259216E-2</v>
      </c>
      <c r="O8" s="162">
        <f t="shared" si="3"/>
        <v>1.2129608E-2</v>
      </c>
      <c r="P8" s="160">
        <f t="shared" si="4"/>
        <v>24.259215999999999</v>
      </c>
      <c r="Q8" s="71">
        <f t="shared" si="5"/>
        <v>24.259215999999999</v>
      </c>
      <c r="R8" s="71">
        <f t="shared" si="6"/>
        <v>12.129607999999999</v>
      </c>
    </row>
    <row r="9" spans="1:18" s="71" customFormat="1">
      <c r="A9" s="65" t="s">
        <v>437</v>
      </c>
      <c r="B9" s="66" t="s">
        <v>168</v>
      </c>
      <c r="C9" s="156">
        <v>4</v>
      </c>
      <c r="D9" s="141" t="s">
        <v>575</v>
      </c>
      <c r="E9" s="142" t="s">
        <v>588</v>
      </c>
      <c r="F9" s="69">
        <v>2.9473590000000001E-2</v>
      </c>
      <c r="G9" s="70">
        <v>29.744354649810532</v>
      </c>
      <c r="H9" s="149">
        <v>7.3683975000000002E-3</v>
      </c>
      <c r="I9" s="149">
        <v>0.11789436</v>
      </c>
      <c r="J9" s="150">
        <v>7.436088662452633</v>
      </c>
      <c r="K9" s="150">
        <v>118.97741859924213</v>
      </c>
      <c r="L9" s="160">
        <f t="shared" si="0"/>
        <v>89.233063949431596</v>
      </c>
      <c r="M9" s="160">
        <f t="shared" si="1"/>
        <v>22.308265987357899</v>
      </c>
      <c r="N9" s="162">
        <f t="shared" si="2"/>
        <v>8.842077000000001E-2</v>
      </c>
      <c r="O9" s="162">
        <f t="shared" si="3"/>
        <v>2.2105192500000002E-2</v>
      </c>
      <c r="P9" s="160">
        <f t="shared" si="4"/>
        <v>29.473590000000002</v>
      </c>
      <c r="Q9" s="71">
        <f t="shared" si="5"/>
        <v>88.420770000000005</v>
      </c>
      <c r="R9" s="71">
        <f t="shared" si="6"/>
        <v>22.105192500000001</v>
      </c>
    </row>
    <row r="10" spans="1:18" s="71" customFormat="1">
      <c r="A10" s="65" t="s">
        <v>438</v>
      </c>
      <c r="B10" s="66" t="s">
        <v>55</v>
      </c>
      <c r="C10" s="155">
        <v>0.5</v>
      </c>
      <c r="D10" s="141" t="s">
        <v>566</v>
      </c>
      <c r="E10" s="142" t="s">
        <v>579</v>
      </c>
      <c r="F10" s="69">
        <v>2.3317665000000001E-2</v>
      </c>
      <c r="G10" s="70">
        <v>35.005687060780502</v>
      </c>
      <c r="H10" s="149">
        <v>1.1658832500000001E-2</v>
      </c>
      <c r="I10" s="149">
        <v>3.4976497500000002E-2</v>
      </c>
      <c r="J10" s="150">
        <v>17.502843530390251</v>
      </c>
      <c r="K10" s="150">
        <v>52.508530591170754</v>
      </c>
      <c r="L10" s="160">
        <f t="shared" si="0"/>
        <v>17.502843530390251</v>
      </c>
      <c r="M10" s="160">
        <f t="shared" si="1"/>
        <v>17.502843530390251</v>
      </c>
      <c r="N10" s="162">
        <f t="shared" si="2"/>
        <v>1.1658832500000001E-2</v>
      </c>
      <c r="O10" s="162">
        <f t="shared" si="3"/>
        <v>1.1658832500000001E-2</v>
      </c>
      <c r="P10" s="160">
        <f t="shared" si="4"/>
        <v>23.317665000000002</v>
      </c>
      <c r="Q10" s="71">
        <f t="shared" si="5"/>
        <v>11.658832500000001</v>
      </c>
      <c r="R10" s="71">
        <f t="shared" si="6"/>
        <v>11.658832500000001</v>
      </c>
    </row>
    <row r="11" spans="1:18" s="71" customFormat="1">
      <c r="A11" s="65" t="s">
        <v>438</v>
      </c>
      <c r="B11" s="66" t="s">
        <v>58</v>
      </c>
      <c r="C11" s="155">
        <v>0.5</v>
      </c>
      <c r="D11" s="141" t="s">
        <v>566</v>
      </c>
      <c r="E11" s="142" t="s">
        <v>580</v>
      </c>
      <c r="F11" s="69">
        <v>2.6666532E-2</v>
      </c>
      <c r="G11" s="70">
        <v>42.501973704446463</v>
      </c>
      <c r="H11" s="149">
        <v>1.3333266E-2</v>
      </c>
      <c r="I11" s="149">
        <v>3.9999798000000003E-2</v>
      </c>
      <c r="J11" s="150">
        <v>21.250986852223232</v>
      </c>
      <c r="K11" s="150">
        <v>63.752960556669692</v>
      </c>
      <c r="L11" s="160">
        <f t="shared" si="0"/>
        <v>21.250986852223228</v>
      </c>
      <c r="M11" s="160">
        <f t="shared" si="1"/>
        <v>21.250986852223232</v>
      </c>
      <c r="N11" s="162">
        <f t="shared" si="2"/>
        <v>1.3333266000000003E-2</v>
      </c>
      <c r="O11" s="162">
        <f t="shared" si="3"/>
        <v>1.3333266E-2</v>
      </c>
      <c r="P11" s="160">
        <f t="shared" si="4"/>
        <v>26.666532</v>
      </c>
      <c r="Q11" s="71">
        <f t="shared" si="5"/>
        <v>13.333266000000004</v>
      </c>
      <c r="R11" s="71">
        <f t="shared" si="6"/>
        <v>13.333266</v>
      </c>
    </row>
    <row r="12" spans="1:18" s="71" customFormat="1">
      <c r="A12" s="65" t="s">
        <v>438</v>
      </c>
      <c r="B12" s="66" t="s">
        <v>56</v>
      </c>
      <c r="C12" s="155">
        <v>0.5</v>
      </c>
      <c r="D12" s="141" t="s">
        <v>540</v>
      </c>
      <c r="E12" s="142" t="s">
        <v>497</v>
      </c>
      <c r="F12" s="69">
        <v>3.4961933000000001E-2</v>
      </c>
      <c r="G12" s="70">
        <v>51.137872897834605</v>
      </c>
      <c r="H12" s="149">
        <v>1.74809665E-2</v>
      </c>
      <c r="I12" s="149">
        <v>5.2442899500000001E-2</v>
      </c>
      <c r="J12" s="150">
        <v>25.568936448917302</v>
      </c>
      <c r="K12" s="150">
        <v>76.706809346751911</v>
      </c>
      <c r="L12" s="160">
        <f t="shared" si="0"/>
        <v>25.568936448917306</v>
      </c>
      <c r="M12" s="160">
        <f t="shared" si="1"/>
        <v>25.568936448917302</v>
      </c>
      <c r="N12" s="162">
        <f t="shared" si="2"/>
        <v>1.74809665E-2</v>
      </c>
      <c r="O12" s="162">
        <f t="shared" si="3"/>
        <v>1.74809665E-2</v>
      </c>
      <c r="P12" s="160">
        <f t="shared" si="4"/>
        <v>34.961933000000002</v>
      </c>
      <c r="Q12" s="71">
        <f t="shared" si="5"/>
        <v>17.480966500000001</v>
      </c>
      <c r="R12" s="71">
        <f t="shared" si="6"/>
        <v>17.480966500000001</v>
      </c>
    </row>
    <row r="13" spans="1:18" s="71" customFormat="1">
      <c r="A13" s="65" t="s">
        <v>437</v>
      </c>
      <c r="B13" s="66" t="s">
        <v>169</v>
      </c>
      <c r="C13" s="156">
        <v>4</v>
      </c>
      <c r="D13" s="141" t="s">
        <v>576</v>
      </c>
      <c r="E13" s="142" t="s">
        <v>589</v>
      </c>
      <c r="F13" s="69">
        <v>5.3944858999999998E-2</v>
      </c>
      <c r="G13" s="70">
        <v>63.609473438008408</v>
      </c>
      <c r="H13" s="149">
        <v>1.3486214749999999E-2</v>
      </c>
      <c r="I13" s="149">
        <v>0.21577943599999999</v>
      </c>
      <c r="J13" s="150">
        <v>15.902368359502102</v>
      </c>
      <c r="K13" s="150">
        <v>254.43789375203363</v>
      </c>
      <c r="L13" s="160">
        <f t="shared" si="0"/>
        <v>190.82842031402521</v>
      </c>
      <c r="M13" s="160">
        <f t="shared" si="1"/>
        <v>47.707105078506302</v>
      </c>
      <c r="N13" s="162">
        <f t="shared" si="2"/>
        <v>0.16183457699999998</v>
      </c>
      <c r="O13" s="162">
        <f t="shared" si="3"/>
        <v>4.0458644249999995E-2</v>
      </c>
      <c r="P13" s="160">
        <f t="shared" si="4"/>
        <v>53.944859000000001</v>
      </c>
      <c r="Q13" s="71">
        <f t="shared" si="5"/>
        <v>161.83457699999997</v>
      </c>
      <c r="R13" s="71">
        <f t="shared" si="6"/>
        <v>40.458644249999992</v>
      </c>
    </row>
    <row r="14" spans="1:18" s="71" customFormat="1">
      <c r="A14" s="65" t="s">
        <v>38</v>
      </c>
      <c r="B14" s="66" t="s">
        <v>284</v>
      </c>
      <c r="C14" s="155">
        <v>0.4</v>
      </c>
      <c r="D14" s="141" t="s">
        <v>534</v>
      </c>
      <c r="E14" s="142" t="s">
        <v>476</v>
      </c>
      <c r="F14" s="69">
        <v>5.5192583000000003E-2</v>
      </c>
      <c r="G14" s="70">
        <v>74.138500861070739</v>
      </c>
      <c r="H14" s="149">
        <v>3.3115549800000005E-2</v>
      </c>
      <c r="I14" s="149">
        <v>7.7269616200000002E-2</v>
      </c>
      <c r="J14" s="150">
        <v>44.483100516642438</v>
      </c>
      <c r="K14" s="150">
        <v>103.79390120549904</v>
      </c>
      <c r="L14" s="160">
        <f t="shared" si="0"/>
        <v>29.655400344428301</v>
      </c>
      <c r="M14" s="160">
        <f t="shared" si="1"/>
        <v>29.655400344428301</v>
      </c>
      <c r="N14" s="162">
        <f t="shared" si="2"/>
        <v>2.2077033199999999E-2</v>
      </c>
      <c r="O14" s="162">
        <f t="shared" si="3"/>
        <v>2.2077033199999999E-2</v>
      </c>
      <c r="P14" s="160">
        <f t="shared" si="4"/>
        <v>55.192583000000006</v>
      </c>
      <c r="Q14" s="71">
        <f t="shared" si="5"/>
        <v>22.077033199999999</v>
      </c>
      <c r="R14" s="71">
        <f t="shared" si="6"/>
        <v>22.077033199999999</v>
      </c>
    </row>
    <row r="15" spans="1:18" s="71" customFormat="1">
      <c r="A15" s="65" t="s">
        <v>438</v>
      </c>
      <c r="B15" s="66" t="s">
        <v>343</v>
      </c>
      <c r="C15" s="155">
        <v>0.5</v>
      </c>
      <c r="D15" s="141" t="s">
        <v>567</v>
      </c>
      <c r="E15" s="142" t="s">
        <v>502</v>
      </c>
      <c r="F15" s="69">
        <v>0.11774149</v>
      </c>
      <c r="G15" s="70">
        <v>125.3715286226643</v>
      </c>
      <c r="H15" s="149">
        <v>5.8870745000000002E-2</v>
      </c>
      <c r="I15" s="149">
        <v>0.17661223500000001</v>
      </c>
      <c r="J15" s="150">
        <v>62.68576431133215</v>
      </c>
      <c r="K15" s="150">
        <v>188.05729293399645</v>
      </c>
      <c r="L15" s="160">
        <f t="shared" si="0"/>
        <v>62.68576431133215</v>
      </c>
      <c r="M15" s="160">
        <f t="shared" si="1"/>
        <v>62.68576431133215</v>
      </c>
      <c r="N15" s="162">
        <f t="shared" si="2"/>
        <v>5.8870745000000002E-2</v>
      </c>
      <c r="O15" s="162">
        <f t="shared" si="3"/>
        <v>5.8870745000000002E-2</v>
      </c>
      <c r="P15" s="160">
        <f t="shared" si="4"/>
        <v>117.74149</v>
      </c>
      <c r="Q15" s="71">
        <f t="shared" si="5"/>
        <v>58.870744999999999</v>
      </c>
      <c r="R15" s="71">
        <f t="shared" si="6"/>
        <v>58.870744999999999</v>
      </c>
    </row>
    <row r="16" spans="1:18" s="71" customFormat="1">
      <c r="A16" s="65" t="s">
        <v>438</v>
      </c>
      <c r="B16" s="66" t="s">
        <v>57</v>
      </c>
      <c r="C16" s="156">
        <v>2</v>
      </c>
      <c r="D16" s="141" t="s">
        <v>572</v>
      </c>
      <c r="E16" s="142" t="s">
        <v>585</v>
      </c>
      <c r="F16" s="69">
        <v>0.14324999999999999</v>
      </c>
      <c r="G16" s="70">
        <v>178.6164082908914</v>
      </c>
      <c r="H16" s="149">
        <v>7.1624999999999994E-2</v>
      </c>
      <c r="I16" s="149">
        <v>0.28649999999999998</v>
      </c>
      <c r="J16" s="150">
        <v>89.3082041454457</v>
      </c>
      <c r="K16" s="150">
        <v>357.2328165817828</v>
      </c>
      <c r="L16" s="160">
        <f t="shared" si="0"/>
        <v>178.6164082908914</v>
      </c>
      <c r="M16" s="160">
        <f t="shared" si="1"/>
        <v>89.3082041454457</v>
      </c>
      <c r="N16" s="162">
        <f t="shared" si="2"/>
        <v>0.14324999999999999</v>
      </c>
      <c r="O16" s="162">
        <f t="shared" si="3"/>
        <v>7.1624999999999994E-2</v>
      </c>
      <c r="P16" s="160">
        <f t="shared" si="4"/>
        <v>143.25</v>
      </c>
      <c r="Q16" s="71">
        <f t="shared" si="5"/>
        <v>143.25</v>
      </c>
      <c r="R16" s="71">
        <f t="shared" si="6"/>
        <v>71.625</v>
      </c>
    </row>
    <row r="17" spans="1:18" s="71" customFormat="1">
      <c r="A17" s="65" t="s">
        <v>438</v>
      </c>
      <c r="B17" s="66" t="s">
        <v>160</v>
      </c>
      <c r="C17" s="156">
        <v>3</v>
      </c>
      <c r="D17" s="141" t="s">
        <v>573</v>
      </c>
      <c r="E17" s="142" t="s">
        <v>586</v>
      </c>
      <c r="F17" s="69">
        <v>0.22940548999999999</v>
      </c>
      <c r="G17" s="70">
        <v>279.27793217704232</v>
      </c>
      <c r="H17" s="149">
        <v>7.6468496666666663E-2</v>
      </c>
      <c r="I17" s="149">
        <v>0.68821646999999997</v>
      </c>
      <c r="J17" s="150">
        <v>93.092644059014106</v>
      </c>
      <c r="K17" s="150">
        <v>837.83379653112695</v>
      </c>
      <c r="L17" s="160">
        <f t="shared" si="0"/>
        <v>558.55586435408463</v>
      </c>
      <c r="M17" s="160">
        <f t="shared" si="1"/>
        <v>186.18528811802821</v>
      </c>
      <c r="N17" s="162">
        <f t="shared" si="2"/>
        <v>0.45881097999999998</v>
      </c>
      <c r="O17" s="162">
        <f t="shared" si="3"/>
        <v>0.15293699333333333</v>
      </c>
      <c r="P17" s="160">
        <f t="shared" si="4"/>
        <v>229.40548999999999</v>
      </c>
      <c r="Q17" s="71">
        <f t="shared" si="5"/>
        <v>458.81097999999997</v>
      </c>
      <c r="R17" s="71">
        <f t="shared" si="6"/>
        <v>152.93699333333333</v>
      </c>
    </row>
    <row r="18" spans="1:18" s="71" customFormat="1">
      <c r="A18" s="65" t="s">
        <v>437</v>
      </c>
      <c r="B18" s="66" t="s">
        <v>167</v>
      </c>
      <c r="C18" s="156">
        <v>4</v>
      </c>
      <c r="D18" s="141" t="s">
        <v>574</v>
      </c>
      <c r="E18" s="142" t="s">
        <v>587</v>
      </c>
      <c r="F18" s="69">
        <v>0.29274176000000002</v>
      </c>
      <c r="G18" s="70">
        <v>292.97211279539545</v>
      </c>
      <c r="H18" s="149">
        <v>7.3185440000000004E-2</v>
      </c>
      <c r="I18" s="149">
        <v>1.1709670400000001</v>
      </c>
      <c r="J18" s="150">
        <v>73.243028198848862</v>
      </c>
      <c r="K18" s="150">
        <v>1171.8884511815818</v>
      </c>
      <c r="L18" s="160">
        <f t="shared" si="0"/>
        <v>878.91633838618634</v>
      </c>
      <c r="M18" s="160">
        <f t="shared" si="1"/>
        <v>219.72908459654658</v>
      </c>
      <c r="N18" s="162">
        <f t="shared" si="2"/>
        <v>0.87822528000000011</v>
      </c>
      <c r="O18" s="162">
        <f t="shared" si="3"/>
        <v>0.21955632000000003</v>
      </c>
      <c r="P18" s="160">
        <f t="shared" si="4"/>
        <v>292.74176</v>
      </c>
      <c r="Q18" s="71">
        <f t="shared" si="5"/>
        <v>878.22528000000011</v>
      </c>
      <c r="R18" s="71">
        <f t="shared" si="6"/>
        <v>219.55632000000003</v>
      </c>
    </row>
    <row r="19" spans="1:18" s="71" customFormat="1" ht="15" thickBot="1">
      <c r="A19" s="73" t="s">
        <v>38</v>
      </c>
      <c r="B19" s="74" t="s">
        <v>114</v>
      </c>
      <c r="C19" s="157">
        <v>10</v>
      </c>
      <c r="D19" s="143" t="s">
        <v>577</v>
      </c>
      <c r="E19" s="142" t="s">
        <v>590</v>
      </c>
      <c r="F19" s="77">
        <v>1.4641096</v>
      </c>
      <c r="G19" s="78">
        <v>937.170910924483</v>
      </c>
      <c r="H19" s="149">
        <v>0.14641096000000001</v>
      </c>
      <c r="I19" s="149">
        <v>14.641096000000001</v>
      </c>
      <c r="J19" s="150">
        <v>93.7170910924483</v>
      </c>
      <c r="K19" s="150">
        <v>9371.70910924483</v>
      </c>
      <c r="L19" s="160">
        <f t="shared" si="0"/>
        <v>8434.5381983203479</v>
      </c>
      <c r="M19" s="160">
        <f t="shared" si="1"/>
        <v>843.4538198320347</v>
      </c>
      <c r="N19" s="162">
        <f t="shared" si="2"/>
        <v>13.176986400000001</v>
      </c>
      <c r="O19" s="162">
        <f t="shared" si="3"/>
        <v>1.3176986399999999</v>
      </c>
      <c r="P19" s="160">
        <f t="shared" si="4"/>
        <v>1464.1096</v>
      </c>
      <c r="Q19" s="71">
        <f t="shared" si="5"/>
        <v>13176.9864</v>
      </c>
      <c r="R19" s="71">
        <f t="shared" si="6"/>
        <v>1317.6986399999998</v>
      </c>
    </row>
  </sheetData>
  <autoFilter ref="A2:K2">
    <sortState ref="A3:K19">
      <sortCondition ref="G2"/>
    </sortState>
  </autoFilter>
  <sortState ref="A3:K19">
    <sortCondition ref="C3:C19"/>
  </sortState>
  <mergeCells count="2">
    <mergeCell ref="H1:I1"/>
    <mergeCell ref="J1:K1"/>
  </mergeCells>
  <conditionalFormatting sqref="H1">
    <cfRule type="dataBar" priority="2">
      <dataBar>
        <cfvo type="min"/>
        <cfvo type="max"/>
        <color rgb="FF638EC6"/>
      </dataBar>
      <extLst>
        <ext xmlns:x14="http://schemas.microsoft.com/office/spreadsheetml/2009/9/main" uri="{B025F937-C7B1-47D3-B67F-A62EFF666E3E}">
          <x14:id>{9D1EF437-8C54-F24E-9220-2E47F7210708}</x14:id>
        </ext>
      </extLst>
    </cfRule>
  </conditionalFormatting>
  <conditionalFormatting sqref="J1">
    <cfRule type="dataBar" priority="1">
      <dataBar>
        <cfvo type="min"/>
        <cfvo type="max"/>
        <color rgb="FF638EC6"/>
      </dataBar>
      <extLst>
        <ext xmlns:x14="http://schemas.microsoft.com/office/spreadsheetml/2009/9/main" uri="{B025F937-C7B1-47D3-B67F-A62EFF666E3E}">
          <x14:id>{17EAE8BD-49AD-254A-922D-2A34F38E689D}</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9D1EF437-8C54-F24E-9220-2E47F7210708}">
            <x14:dataBar minLength="0" maxLength="100" border="1" negativeBarBorderColorSameAsPositive="0">
              <x14:cfvo type="autoMin"/>
              <x14:cfvo type="autoMax"/>
              <x14:borderColor rgb="FF638EC6"/>
              <x14:negativeFillColor rgb="FFFF0000"/>
              <x14:negativeBorderColor rgb="FFFF0000"/>
              <x14:axisColor rgb="FF000000"/>
            </x14:dataBar>
          </x14:cfRule>
          <xm:sqref>H1</xm:sqref>
        </x14:conditionalFormatting>
        <x14:conditionalFormatting xmlns:xm="http://schemas.microsoft.com/office/excel/2006/main">
          <x14:cfRule type="dataBar" id="{17EAE8BD-49AD-254A-922D-2A34F38E689D}">
            <x14:dataBar minLength="0" maxLength="100" border="1" negativeBarBorderColorSameAsPositive="0">
              <x14:cfvo type="autoMin"/>
              <x14:cfvo type="autoMax"/>
              <x14:borderColor rgb="FF638EC6"/>
              <x14:negativeFillColor rgb="FFFF0000"/>
              <x14:negativeBorderColor rgb="FFFF0000"/>
              <x14:axisColor rgb="FF000000"/>
            </x14:dataBar>
          </x14:cfRule>
          <xm:sqref>J1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60" zoomScaleNormal="60" workbookViewId="0">
      <pane xSplit="2" ySplit="2" topLeftCell="D24" activePane="bottomRight" state="frozen"/>
      <selection pane="topRight" activeCell="G1" sqref="G1"/>
      <selection pane="bottomLeft" activeCell="A3" sqref="A3"/>
      <selection pane="bottomRight" activeCell="F14" sqref="F14"/>
    </sheetView>
  </sheetViews>
  <sheetFormatPr baseColWidth="10" defaultColWidth="10.6328125" defaultRowHeight="14.5"/>
  <cols>
    <col min="1" max="1" width="12" style="51" customWidth="1"/>
    <col min="2" max="2" width="65.1796875" style="79" customWidth="1"/>
    <col min="3" max="3" width="107.1796875" style="51" customWidth="1"/>
    <col min="4" max="4" width="19.1796875" style="51" customWidth="1"/>
    <col min="5" max="5" width="15.36328125" style="51" customWidth="1"/>
    <col min="6" max="6" width="20" style="51" customWidth="1"/>
    <col min="7" max="8" width="18.36328125" style="51" customWidth="1"/>
    <col min="9" max="9" width="16.1796875" style="71" customWidth="1"/>
    <col min="10" max="10" width="14.36328125" style="71" bestFit="1" customWidth="1"/>
    <col min="11" max="16384" width="10.6328125" style="51"/>
  </cols>
  <sheetData>
    <row r="1" spans="1:10" ht="23.5">
      <c r="A1" s="56" t="s">
        <v>178</v>
      </c>
      <c r="B1" s="57"/>
      <c r="C1" s="58"/>
      <c r="D1" s="58"/>
      <c r="E1" s="58"/>
      <c r="F1" s="58"/>
      <c r="G1" s="58"/>
      <c r="H1" s="58"/>
      <c r="I1" s="87"/>
      <c r="J1" s="88"/>
    </row>
    <row r="2" spans="1:10" s="64" customFormat="1">
      <c r="A2" s="60" t="s">
        <v>0</v>
      </c>
      <c r="B2" s="61" t="s">
        <v>147</v>
      </c>
      <c r="C2" s="61" t="s">
        <v>37</v>
      </c>
      <c r="D2" s="49" t="s">
        <v>26</v>
      </c>
      <c r="E2" s="49" t="s">
        <v>202</v>
      </c>
      <c r="F2" s="49" t="s">
        <v>258</v>
      </c>
      <c r="G2" s="49" t="s">
        <v>245</v>
      </c>
      <c r="H2" s="49" t="s">
        <v>129</v>
      </c>
      <c r="I2" s="62" t="s">
        <v>60</v>
      </c>
      <c r="J2" s="63" t="s">
        <v>611</v>
      </c>
    </row>
    <row r="3" spans="1:10" s="71" customFormat="1">
      <c r="A3" s="65" t="s">
        <v>439</v>
      </c>
      <c r="B3" s="66" t="s">
        <v>45</v>
      </c>
      <c r="C3" s="67" t="s">
        <v>381</v>
      </c>
      <c r="D3" s="67" t="s">
        <v>379</v>
      </c>
      <c r="E3" s="68" t="s">
        <v>200</v>
      </c>
      <c r="F3" s="67" t="s">
        <v>43</v>
      </c>
      <c r="G3" s="67" t="s">
        <v>383</v>
      </c>
      <c r="H3" s="67"/>
      <c r="I3" s="69">
        <v>8.1682391000000003E-3</v>
      </c>
      <c r="J3" s="70">
        <v>10.499639063324402</v>
      </c>
    </row>
    <row r="4" spans="1:10" s="71" customFormat="1">
      <c r="A4" s="65" t="s">
        <v>439</v>
      </c>
      <c r="B4" s="66" t="s">
        <v>54</v>
      </c>
      <c r="C4" s="67" t="s">
        <v>385</v>
      </c>
      <c r="D4" s="67" t="s">
        <v>384</v>
      </c>
      <c r="E4" s="68" t="s">
        <v>200</v>
      </c>
      <c r="F4" s="67" t="s">
        <v>43</v>
      </c>
      <c r="G4" s="67" t="s">
        <v>382</v>
      </c>
      <c r="H4" s="67"/>
      <c r="I4" s="69">
        <v>5.6809501999999998</v>
      </c>
      <c r="J4" s="70">
        <v>7694.5904610586485</v>
      </c>
    </row>
    <row r="5" spans="1:10" s="71" customFormat="1">
      <c r="A5" s="65" t="s">
        <v>439</v>
      </c>
      <c r="B5" s="66" t="s">
        <v>46</v>
      </c>
      <c r="C5" s="67" t="s">
        <v>386</v>
      </c>
      <c r="D5" s="67" t="s">
        <v>384</v>
      </c>
      <c r="E5" s="68" t="s">
        <v>200</v>
      </c>
      <c r="F5" s="67" t="s">
        <v>43</v>
      </c>
      <c r="G5" s="67" t="s">
        <v>382</v>
      </c>
      <c r="H5" s="67"/>
      <c r="I5" s="69">
        <v>5.6204077000000003</v>
      </c>
      <c r="J5" s="70">
        <v>7626.3133806981032</v>
      </c>
    </row>
    <row r="6" spans="1:10" s="71" customFormat="1">
      <c r="A6" s="65" t="s">
        <v>439</v>
      </c>
      <c r="B6" s="66" t="s">
        <v>189</v>
      </c>
      <c r="C6" s="67" t="s">
        <v>452</v>
      </c>
      <c r="D6" s="67" t="s">
        <v>27</v>
      </c>
      <c r="E6" s="68" t="s">
        <v>199</v>
      </c>
      <c r="F6" s="67" t="s">
        <v>119</v>
      </c>
      <c r="G6" s="67" t="s">
        <v>109</v>
      </c>
      <c r="H6" s="67"/>
      <c r="I6" s="69">
        <v>6.8896838E-3</v>
      </c>
      <c r="J6" s="70">
        <v>12.5922359177478</v>
      </c>
    </row>
    <row r="7" spans="1:10" s="71" customFormat="1">
      <c r="A7" s="65" t="s">
        <v>439</v>
      </c>
      <c r="B7" s="66" t="s">
        <v>251</v>
      </c>
      <c r="C7" s="67" t="s">
        <v>112</v>
      </c>
      <c r="D7" s="67" t="s">
        <v>27</v>
      </c>
      <c r="E7" s="68" t="s">
        <v>199</v>
      </c>
      <c r="F7" s="67" t="s">
        <v>453</v>
      </c>
      <c r="G7" s="67" t="s">
        <v>265</v>
      </c>
      <c r="H7" s="67" t="s">
        <v>174</v>
      </c>
      <c r="I7" s="69">
        <v>1.5912835E-2</v>
      </c>
      <c r="J7" s="70">
        <v>29.893633547256087</v>
      </c>
    </row>
    <row r="8" spans="1:10" s="71" customFormat="1">
      <c r="A8" s="65" t="s">
        <v>439</v>
      </c>
      <c r="B8" s="66" t="s">
        <v>166</v>
      </c>
      <c r="C8" s="67" t="s">
        <v>348</v>
      </c>
      <c r="D8" s="67" t="s">
        <v>28</v>
      </c>
      <c r="E8" s="68" t="s">
        <v>216</v>
      </c>
      <c r="F8" s="67" t="s">
        <v>351</v>
      </c>
      <c r="G8" s="67" t="s">
        <v>350</v>
      </c>
      <c r="H8" s="67" t="s">
        <v>349</v>
      </c>
      <c r="I8" s="69">
        <v>3.19302E-3</v>
      </c>
      <c r="J8" s="70">
        <v>4.5681808878244601</v>
      </c>
    </row>
    <row r="9" spans="1:10" s="71" customFormat="1">
      <c r="A9" s="65" t="s">
        <v>439</v>
      </c>
      <c r="B9" s="66" t="s">
        <v>344</v>
      </c>
      <c r="C9" s="67" t="s">
        <v>345</v>
      </c>
      <c r="D9" s="67" t="s">
        <v>28</v>
      </c>
      <c r="E9" s="68" t="s">
        <v>216</v>
      </c>
      <c r="F9" s="67" t="s">
        <v>186</v>
      </c>
      <c r="G9" s="67" t="s">
        <v>347</v>
      </c>
      <c r="H9" s="67" t="s">
        <v>346</v>
      </c>
      <c r="I9" s="69">
        <v>4.7456012999999998E-2</v>
      </c>
      <c r="J9" s="70">
        <v>65.504203731589712</v>
      </c>
    </row>
    <row r="10" spans="1:10" s="71" customFormat="1">
      <c r="A10" s="65" t="s">
        <v>439</v>
      </c>
      <c r="B10" s="66" t="s">
        <v>161</v>
      </c>
      <c r="C10" s="67" t="s">
        <v>255</v>
      </c>
      <c r="D10" s="67" t="s">
        <v>28</v>
      </c>
      <c r="E10" s="68" t="s">
        <v>309</v>
      </c>
      <c r="F10" s="80" t="s">
        <v>257</v>
      </c>
      <c r="G10" s="67" t="s">
        <v>256</v>
      </c>
      <c r="H10" s="81"/>
      <c r="I10" s="69">
        <v>2.75</v>
      </c>
      <c r="J10" s="70">
        <v>3101.5891657669667</v>
      </c>
    </row>
    <row r="11" spans="1:10" s="71" customFormat="1">
      <c r="A11" s="65" t="s">
        <v>439</v>
      </c>
      <c r="B11" s="66" t="s">
        <v>162</v>
      </c>
      <c r="C11" s="67" t="s">
        <v>156</v>
      </c>
      <c r="D11" s="67" t="s">
        <v>28</v>
      </c>
      <c r="E11" s="68" t="s">
        <v>309</v>
      </c>
      <c r="F11" s="67" t="s">
        <v>257</v>
      </c>
      <c r="G11" s="67" t="s">
        <v>256</v>
      </c>
      <c r="H11" s="81"/>
      <c r="I11" s="69">
        <v>2.109</v>
      </c>
      <c r="J11" s="70">
        <v>2385.129922564201</v>
      </c>
    </row>
    <row r="12" spans="1:10" s="71" customFormat="1">
      <c r="A12" s="65" t="s">
        <v>439</v>
      </c>
      <c r="B12" s="66" t="s">
        <v>163</v>
      </c>
      <c r="C12" s="67" t="s">
        <v>259</v>
      </c>
      <c r="D12" s="67" t="s">
        <v>27</v>
      </c>
      <c r="E12" s="68" t="s">
        <v>260</v>
      </c>
      <c r="F12" s="67" t="s">
        <v>261</v>
      </c>
      <c r="G12" s="67" t="s">
        <v>134</v>
      </c>
      <c r="H12" s="67" t="s">
        <v>173</v>
      </c>
      <c r="I12" s="69">
        <v>3.7867954000000002E-2</v>
      </c>
      <c r="J12" s="70">
        <v>58.936062782308689</v>
      </c>
    </row>
    <row r="13" spans="1:10" s="71" customFormat="1">
      <c r="A13" s="65" t="s">
        <v>437</v>
      </c>
      <c r="B13" s="66" t="s">
        <v>252</v>
      </c>
      <c r="C13" s="67" t="s">
        <v>264</v>
      </c>
      <c r="D13" s="67" t="s">
        <v>177</v>
      </c>
      <c r="E13" s="68" t="s">
        <v>217</v>
      </c>
      <c r="F13" s="67" t="s">
        <v>263</v>
      </c>
      <c r="G13" s="67" t="s">
        <v>188</v>
      </c>
      <c r="H13" s="67" t="s">
        <v>404</v>
      </c>
      <c r="I13" s="69">
        <v>8.2431844000000004E-2</v>
      </c>
      <c r="J13" s="70">
        <v>115.08819806215908</v>
      </c>
    </row>
    <row r="14" spans="1:10" s="71" customFormat="1">
      <c r="A14" s="65" t="s">
        <v>437</v>
      </c>
      <c r="B14" s="66" t="s">
        <v>187</v>
      </c>
      <c r="C14" s="67" t="s">
        <v>262</v>
      </c>
      <c r="D14" s="67" t="s">
        <v>176</v>
      </c>
      <c r="E14" s="82" t="s">
        <v>199</v>
      </c>
      <c r="F14" s="80" t="s">
        <v>263</v>
      </c>
      <c r="G14" s="67" t="s">
        <v>188</v>
      </c>
      <c r="H14" s="67" t="s">
        <v>403</v>
      </c>
      <c r="I14" s="69">
        <v>5.8967672999999998E-2</v>
      </c>
      <c r="J14" s="70">
        <v>88.318696496570112</v>
      </c>
    </row>
    <row r="15" spans="1:10" s="71" customFormat="1">
      <c r="A15" s="65" t="s">
        <v>437</v>
      </c>
      <c r="B15" s="66" t="s">
        <v>192</v>
      </c>
      <c r="C15" s="72" t="s">
        <v>275</v>
      </c>
      <c r="D15" s="67" t="s">
        <v>28</v>
      </c>
      <c r="E15" s="68" t="s">
        <v>200</v>
      </c>
      <c r="F15" s="67" t="s">
        <v>274</v>
      </c>
      <c r="G15" s="67" t="s">
        <v>272</v>
      </c>
      <c r="H15" s="67"/>
      <c r="I15" s="69">
        <v>8.7977629000000002E-2</v>
      </c>
      <c r="J15" s="70">
        <v>88.23941135717611</v>
      </c>
    </row>
    <row r="16" spans="1:10" s="71" customFormat="1">
      <c r="A16" s="65" t="s">
        <v>437</v>
      </c>
      <c r="B16" s="66" t="s">
        <v>170</v>
      </c>
      <c r="C16" s="67" t="s">
        <v>277</v>
      </c>
      <c r="D16" s="67" t="s">
        <v>28</v>
      </c>
      <c r="E16" s="68" t="s">
        <v>200</v>
      </c>
      <c r="F16" s="67" t="s">
        <v>278</v>
      </c>
      <c r="G16" s="67" t="s">
        <v>276</v>
      </c>
      <c r="H16" s="67" t="s">
        <v>279</v>
      </c>
      <c r="I16" s="69">
        <v>2.3422274999999999E-2</v>
      </c>
      <c r="J16" s="70">
        <v>23.447429895265422</v>
      </c>
    </row>
    <row r="17" spans="1:13" s="71" customFormat="1">
      <c r="A17" s="89" t="s">
        <v>437</v>
      </c>
      <c r="B17" s="84" t="s">
        <v>111</v>
      </c>
      <c r="C17" s="83" t="s">
        <v>269</v>
      </c>
      <c r="D17" s="83" t="s">
        <v>271</v>
      </c>
      <c r="E17" s="85" t="s">
        <v>266</v>
      </c>
      <c r="F17" s="83" t="s">
        <v>267</v>
      </c>
      <c r="G17" s="83" t="s">
        <v>268</v>
      </c>
      <c r="H17" s="83" t="s">
        <v>601</v>
      </c>
      <c r="I17" s="69">
        <v>8.6937461999999997E-3</v>
      </c>
      <c r="J17" s="70">
        <v>8.8954881776451415</v>
      </c>
    </row>
    <row r="18" spans="1:13" s="71" customFormat="1">
      <c r="A18" s="65" t="s">
        <v>437</v>
      </c>
      <c r="B18" s="66" t="s">
        <v>171</v>
      </c>
      <c r="C18" s="67" t="s">
        <v>84</v>
      </c>
      <c r="D18" s="67" t="s">
        <v>28</v>
      </c>
      <c r="E18" s="68" t="s">
        <v>199</v>
      </c>
      <c r="F18" s="67" t="s">
        <v>270</v>
      </c>
      <c r="G18" s="67" t="s">
        <v>273</v>
      </c>
      <c r="H18" s="67" t="s">
        <v>602</v>
      </c>
      <c r="I18" s="69">
        <v>1.2074647999999999E-3</v>
      </c>
      <c r="J18" s="70">
        <v>1.2354844729472301</v>
      </c>
    </row>
    <row r="19" spans="1:13" s="71" customFormat="1">
      <c r="A19" s="65" t="s">
        <v>1</v>
      </c>
      <c r="B19" s="66" t="s">
        <v>3</v>
      </c>
      <c r="C19" s="67" t="s">
        <v>87</v>
      </c>
      <c r="D19" s="67" t="s">
        <v>30</v>
      </c>
      <c r="E19" s="68" t="s">
        <v>199</v>
      </c>
      <c r="F19" s="67" t="s">
        <v>454</v>
      </c>
      <c r="G19" s="67" t="s">
        <v>109</v>
      </c>
      <c r="H19" s="67"/>
      <c r="I19" s="69">
        <v>0.12650078000000001</v>
      </c>
      <c r="J19" s="70">
        <v>395.68398394124301</v>
      </c>
    </row>
    <row r="20" spans="1:13" s="71" customFormat="1">
      <c r="A20" s="65" t="s">
        <v>1</v>
      </c>
      <c r="B20" s="66" t="s">
        <v>59</v>
      </c>
      <c r="C20" s="67" t="s">
        <v>86</v>
      </c>
      <c r="D20" s="67" t="s">
        <v>27</v>
      </c>
      <c r="E20" s="68" t="s">
        <v>200</v>
      </c>
      <c r="F20" s="67" t="s">
        <v>39</v>
      </c>
      <c r="G20" s="67" t="s">
        <v>109</v>
      </c>
      <c r="H20" s="67"/>
      <c r="I20" s="69">
        <v>0.25401742999999999</v>
      </c>
      <c r="J20" s="70">
        <v>980.50611467598947</v>
      </c>
    </row>
    <row r="21" spans="1:13" s="71" customFormat="1">
      <c r="A21" s="65" t="s">
        <v>1</v>
      </c>
      <c r="B21" s="66" t="s">
        <v>25</v>
      </c>
      <c r="C21" s="67" t="s">
        <v>88</v>
      </c>
      <c r="D21" s="67" t="s">
        <v>27</v>
      </c>
      <c r="E21" s="68" t="s">
        <v>216</v>
      </c>
      <c r="F21" s="67" t="s">
        <v>373</v>
      </c>
      <c r="G21" s="67" t="s">
        <v>110</v>
      </c>
      <c r="H21" s="67" t="s">
        <v>363</v>
      </c>
      <c r="I21" s="69">
        <v>11.481553</v>
      </c>
      <c r="J21" s="70">
        <v>22788.237501757012</v>
      </c>
    </row>
    <row r="22" spans="1:13" s="71" customFormat="1">
      <c r="A22" s="65" t="s">
        <v>1</v>
      </c>
      <c r="B22" s="66" t="s">
        <v>24</v>
      </c>
      <c r="C22" s="67" t="s">
        <v>372</v>
      </c>
      <c r="D22" s="67" t="s">
        <v>370</v>
      </c>
      <c r="E22" s="68" t="s">
        <v>371</v>
      </c>
      <c r="F22" s="67" t="s">
        <v>374</v>
      </c>
      <c r="G22" s="67" t="s">
        <v>110</v>
      </c>
      <c r="H22" s="67" t="s">
        <v>364</v>
      </c>
      <c r="I22" s="69">
        <v>32.207816999999999</v>
      </c>
      <c r="J22" s="70">
        <v>65316.81096258825</v>
      </c>
    </row>
    <row r="23" spans="1:13" s="71" customFormat="1">
      <c r="A23" s="65" t="s">
        <v>1</v>
      </c>
      <c r="B23" s="66" t="s">
        <v>23</v>
      </c>
      <c r="C23" s="67" t="s">
        <v>369</v>
      </c>
      <c r="D23" s="67" t="s">
        <v>370</v>
      </c>
      <c r="E23" s="68" t="s">
        <v>371</v>
      </c>
      <c r="F23" s="67" t="s">
        <v>375</v>
      </c>
      <c r="G23" s="67" t="s">
        <v>110</v>
      </c>
      <c r="H23" s="67" t="s">
        <v>365</v>
      </c>
      <c r="I23" s="69">
        <v>10.735939</v>
      </c>
      <c r="J23" s="70">
        <v>21772.270294396087</v>
      </c>
    </row>
    <row r="24" spans="1:13" s="71" customFormat="1">
      <c r="A24" s="65" t="s">
        <v>1</v>
      </c>
      <c r="B24" s="66" t="s">
        <v>18</v>
      </c>
      <c r="C24" s="67" t="s">
        <v>40</v>
      </c>
      <c r="D24" s="67" t="s">
        <v>30</v>
      </c>
      <c r="E24" s="68" t="s">
        <v>201</v>
      </c>
      <c r="F24" s="67" t="s">
        <v>29</v>
      </c>
      <c r="G24" s="67" t="s">
        <v>109</v>
      </c>
      <c r="H24" s="67"/>
      <c r="I24" s="69">
        <v>6.4807813000000006E-2</v>
      </c>
      <c r="J24" s="70">
        <v>67.467957083767303</v>
      </c>
    </row>
    <row r="25" spans="1:13" s="71" customFormat="1">
      <c r="A25" s="65" t="s">
        <v>1</v>
      </c>
      <c r="B25" s="66" t="s">
        <v>85</v>
      </c>
      <c r="C25" s="67" t="s">
        <v>254</v>
      </c>
      <c r="D25" s="67" t="s">
        <v>27</v>
      </c>
      <c r="E25" s="68" t="s">
        <v>200</v>
      </c>
      <c r="F25" s="67" t="s">
        <v>39</v>
      </c>
      <c r="G25" s="67" t="s">
        <v>109</v>
      </c>
      <c r="H25" s="67"/>
      <c r="I25" s="69">
        <v>14.265369</v>
      </c>
      <c r="J25" s="70">
        <v>27193.917519690509</v>
      </c>
    </row>
    <row r="26" spans="1:13" s="71" customFormat="1">
      <c r="A26" s="65" t="s">
        <v>38</v>
      </c>
      <c r="B26" s="66" t="s">
        <v>247</v>
      </c>
      <c r="C26" s="67" t="s">
        <v>212</v>
      </c>
      <c r="D26" s="67" t="s">
        <v>215</v>
      </c>
      <c r="E26" s="68" t="s">
        <v>217</v>
      </c>
      <c r="F26" s="67" t="s">
        <v>455</v>
      </c>
      <c r="G26" s="67" t="s">
        <v>218</v>
      </c>
      <c r="H26" s="67" t="s">
        <v>185</v>
      </c>
      <c r="I26" s="69">
        <v>5.5192583000000003E-2</v>
      </c>
      <c r="J26" s="70">
        <v>74.138500861070739</v>
      </c>
    </row>
    <row r="27" spans="1:13" s="86" customFormat="1">
      <c r="A27" s="65" t="s">
        <v>38</v>
      </c>
      <c r="B27" s="66" t="s">
        <v>248</v>
      </c>
      <c r="C27" s="67" t="s">
        <v>233</v>
      </c>
      <c r="D27" s="67" t="s">
        <v>231</v>
      </c>
      <c r="E27" s="68" t="s">
        <v>232</v>
      </c>
      <c r="F27" s="67" t="s">
        <v>230</v>
      </c>
      <c r="G27" s="67" t="s">
        <v>229</v>
      </c>
      <c r="H27" s="67"/>
      <c r="I27" s="69">
        <v>3.5199714999999999E-2</v>
      </c>
      <c r="J27" s="70">
        <v>50.763252037322673</v>
      </c>
      <c r="L27" s="71"/>
      <c r="M27" s="71"/>
    </row>
    <row r="28" spans="1:13" s="86" customFormat="1">
      <c r="A28" s="65" t="s">
        <v>38</v>
      </c>
      <c r="B28" s="66" t="s">
        <v>113</v>
      </c>
      <c r="C28" s="67" t="s">
        <v>225</v>
      </c>
      <c r="D28" s="67" t="s">
        <v>27</v>
      </c>
      <c r="E28" s="68" t="s">
        <v>222</v>
      </c>
      <c r="F28" s="67" t="s">
        <v>223</v>
      </c>
      <c r="G28" s="67" t="s">
        <v>221</v>
      </c>
      <c r="H28" s="67" t="s">
        <v>224</v>
      </c>
      <c r="I28" s="69">
        <v>0.10280913999999999</v>
      </c>
      <c r="J28" s="70">
        <v>139.6695278322868</v>
      </c>
      <c r="L28" s="71"/>
      <c r="M28" s="71"/>
    </row>
    <row r="29" spans="1:13" s="86" customFormat="1">
      <c r="A29" s="65" t="s">
        <v>38</v>
      </c>
      <c r="B29" s="66" t="s">
        <v>220</v>
      </c>
      <c r="C29" s="67" t="s">
        <v>213</v>
      </c>
      <c r="D29" s="67" t="s">
        <v>28</v>
      </c>
      <c r="E29" s="68" t="s">
        <v>216</v>
      </c>
      <c r="F29" s="67" t="s">
        <v>214</v>
      </c>
      <c r="G29" s="67" t="s">
        <v>219</v>
      </c>
      <c r="H29" s="67" t="s">
        <v>234</v>
      </c>
      <c r="I29" s="69">
        <v>5.3150000000000003E-3</v>
      </c>
      <c r="J29" s="70">
        <v>7.8342110738352027</v>
      </c>
      <c r="L29" s="71"/>
      <c r="M29" s="71"/>
    </row>
    <row r="30" spans="1:13" s="71" customFormat="1">
      <c r="A30" s="65" t="s">
        <v>38</v>
      </c>
      <c r="B30" s="66" t="s">
        <v>195</v>
      </c>
      <c r="C30" s="67" t="s">
        <v>239</v>
      </c>
      <c r="D30" s="67" t="s">
        <v>240</v>
      </c>
      <c r="E30" s="68" t="s">
        <v>307</v>
      </c>
      <c r="F30" s="67" t="s">
        <v>241</v>
      </c>
      <c r="G30" s="67" t="s">
        <v>198</v>
      </c>
      <c r="H30" s="67" t="s">
        <v>196</v>
      </c>
      <c r="I30" s="69">
        <v>0.15890000000000001</v>
      </c>
      <c r="J30" s="70">
        <v>298.38669374595929</v>
      </c>
    </row>
    <row r="31" spans="1:13" s="71" customFormat="1">
      <c r="A31" s="65" t="s">
        <v>38</v>
      </c>
      <c r="B31" s="66" t="s">
        <v>19</v>
      </c>
      <c r="C31" s="67" t="s">
        <v>152</v>
      </c>
      <c r="D31" s="67" t="s">
        <v>238</v>
      </c>
      <c r="E31" s="68" t="s">
        <v>236</v>
      </c>
      <c r="F31" s="67" t="s">
        <v>237</v>
      </c>
      <c r="G31" s="67" t="s">
        <v>243</v>
      </c>
      <c r="H31" s="67" t="s">
        <v>235</v>
      </c>
      <c r="I31" s="69">
        <v>0.51648035999999997</v>
      </c>
      <c r="J31" s="70">
        <v>862.12903767869295</v>
      </c>
    </row>
    <row r="32" spans="1:13" s="71" customFormat="1">
      <c r="A32" s="65" t="s">
        <v>38</v>
      </c>
      <c r="B32" s="66" t="s">
        <v>253</v>
      </c>
      <c r="C32" s="67" t="s">
        <v>249</v>
      </c>
      <c r="D32" s="67" t="s">
        <v>242</v>
      </c>
      <c r="E32" s="68" t="s">
        <v>308</v>
      </c>
      <c r="F32" s="67" t="s">
        <v>32</v>
      </c>
      <c r="G32" s="67" t="s">
        <v>243</v>
      </c>
      <c r="H32" s="67" t="s">
        <v>197</v>
      </c>
      <c r="I32" s="69">
        <v>2.8064467</v>
      </c>
      <c r="J32" s="70">
        <v>2254.4955109512716</v>
      </c>
    </row>
    <row r="33" spans="1:10" s="71" customFormat="1">
      <c r="A33" s="65" t="s">
        <v>438</v>
      </c>
      <c r="B33" s="66" t="s">
        <v>138</v>
      </c>
      <c r="C33" s="67" t="s">
        <v>352</v>
      </c>
      <c r="D33" s="67" t="s">
        <v>28</v>
      </c>
      <c r="E33" s="68" t="s">
        <v>216</v>
      </c>
      <c r="F33" s="67" t="s">
        <v>353</v>
      </c>
      <c r="G33" s="67" t="s">
        <v>354</v>
      </c>
      <c r="H33" s="67" t="s">
        <v>448</v>
      </c>
      <c r="I33" s="69">
        <v>2.2048029E-2</v>
      </c>
      <c r="J33" s="70">
        <v>24.68810649890937</v>
      </c>
    </row>
    <row r="34" spans="1:10" s="71" customFormat="1">
      <c r="A34" s="65" t="s">
        <v>438</v>
      </c>
      <c r="B34" s="84" t="s">
        <v>53</v>
      </c>
      <c r="C34" s="83" t="s">
        <v>133</v>
      </c>
      <c r="D34" s="67" t="s">
        <v>28</v>
      </c>
      <c r="E34" s="68" t="s">
        <v>200</v>
      </c>
      <c r="F34" s="67" t="s">
        <v>407</v>
      </c>
      <c r="G34" s="67" t="s">
        <v>135</v>
      </c>
      <c r="H34" s="67" t="s">
        <v>406</v>
      </c>
      <c r="I34" s="69">
        <v>9.9516740000000006E-3</v>
      </c>
      <c r="J34" s="70">
        <v>8.4566888560873181</v>
      </c>
    </row>
    <row r="35" spans="1:10" s="71" customFormat="1">
      <c r="A35" s="65" t="s">
        <v>438</v>
      </c>
      <c r="B35" s="84" t="s">
        <v>50</v>
      </c>
      <c r="C35" s="83" t="s">
        <v>359</v>
      </c>
      <c r="D35" s="67" t="s">
        <v>28</v>
      </c>
      <c r="E35" s="68" t="s">
        <v>216</v>
      </c>
      <c r="F35" s="67" t="s">
        <v>136</v>
      </c>
      <c r="G35" s="67" t="s">
        <v>355</v>
      </c>
      <c r="H35" s="67" t="s">
        <v>356</v>
      </c>
      <c r="I35" s="69">
        <v>3.1121656000000001E-2</v>
      </c>
      <c r="J35" s="70">
        <v>46.352653807595956</v>
      </c>
    </row>
    <row r="36" spans="1:10" s="71" customFormat="1">
      <c r="A36" s="65" t="s">
        <v>438</v>
      </c>
      <c r="B36" s="84" t="s">
        <v>52</v>
      </c>
      <c r="C36" s="83" t="s">
        <v>357</v>
      </c>
      <c r="D36" s="67" t="s">
        <v>28</v>
      </c>
      <c r="E36" s="68" t="s">
        <v>216</v>
      </c>
      <c r="F36" s="67" t="s">
        <v>136</v>
      </c>
      <c r="G36" s="67" t="s">
        <v>355</v>
      </c>
      <c r="H36" s="67" t="s">
        <v>358</v>
      </c>
      <c r="I36" s="69">
        <v>3.9125422999999999E-2</v>
      </c>
      <c r="J36" s="70">
        <v>55.413236272241924</v>
      </c>
    </row>
    <row r="37" spans="1:10" s="71" customFormat="1">
      <c r="A37" s="65" t="s">
        <v>438</v>
      </c>
      <c r="B37" s="66" t="s">
        <v>333</v>
      </c>
      <c r="C37" s="67" t="s">
        <v>289</v>
      </c>
      <c r="D37" s="67" t="s">
        <v>286</v>
      </c>
      <c r="E37" s="68" t="s">
        <v>216</v>
      </c>
      <c r="F37" s="67" t="s">
        <v>287</v>
      </c>
      <c r="G37" s="67" t="s">
        <v>288</v>
      </c>
      <c r="H37" s="67"/>
      <c r="I37" s="69">
        <v>9.4660153999999996E-2</v>
      </c>
      <c r="J37" s="70">
        <v>120.90993868895241</v>
      </c>
    </row>
    <row r="38" spans="1:10" s="71" customFormat="1">
      <c r="A38" s="65" t="s">
        <v>438</v>
      </c>
      <c r="B38" s="66" t="s">
        <v>332</v>
      </c>
      <c r="C38" s="67" t="s">
        <v>339</v>
      </c>
      <c r="D38" s="67" t="s">
        <v>290</v>
      </c>
      <c r="E38" s="68" t="s">
        <v>200</v>
      </c>
      <c r="F38" s="67" t="s">
        <v>143</v>
      </c>
      <c r="G38" s="67" t="s">
        <v>291</v>
      </c>
      <c r="H38" s="67"/>
      <c r="I38" s="69">
        <v>7.0093205000000006E-2</v>
      </c>
      <c r="J38" s="70">
        <v>72.124661835116797</v>
      </c>
    </row>
    <row r="39" spans="1:10" s="71" customFormat="1">
      <c r="A39" s="65" t="s">
        <v>438</v>
      </c>
      <c r="B39" s="66" t="s">
        <v>334</v>
      </c>
      <c r="C39" s="67" t="s">
        <v>292</v>
      </c>
      <c r="D39" s="67" t="s">
        <v>286</v>
      </c>
      <c r="E39" s="68" t="s">
        <v>216</v>
      </c>
      <c r="F39" s="67" t="s">
        <v>287</v>
      </c>
      <c r="G39" s="67" t="s">
        <v>288</v>
      </c>
      <c r="H39" s="67"/>
      <c r="I39" s="69">
        <v>0.10281868</v>
      </c>
      <c r="J39" s="70">
        <v>129.8336285903012</v>
      </c>
    </row>
    <row r="40" spans="1:10" s="71" customFormat="1">
      <c r="A40" s="65" t="s">
        <v>438</v>
      </c>
      <c r="B40" s="66" t="s">
        <v>305</v>
      </c>
      <c r="C40" s="67" t="s">
        <v>302</v>
      </c>
      <c r="D40" s="67" t="s">
        <v>28</v>
      </c>
      <c r="E40" s="68" t="s">
        <v>216</v>
      </c>
      <c r="F40" s="67" t="s">
        <v>295</v>
      </c>
      <c r="G40" s="67" t="s">
        <v>110</v>
      </c>
      <c r="H40" s="67" t="s">
        <v>317</v>
      </c>
      <c r="I40" s="69">
        <v>0.24483116999999999</v>
      </c>
      <c r="J40" s="70">
        <v>273.02443577691753</v>
      </c>
    </row>
    <row r="41" spans="1:10" s="71" customFormat="1">
      <c r="A41" s="65" t="s">
        <v>438</v>
      </c>
      <c r="B41" s="66" t="s">
        <v>306</v>
      </c>
      <c r="C41" s="67" t="s">
        <v>301</v>
      </c>
      <c r="D41" s="67" t="s">
        <v>28</v>
      </c>
      <c r="E41" s="68" t="s">
        <v>216</v>
      </c>
      <c r="F41" s="67" t="s">
        <v>296</v>
      </c>
      <c r="G41" s="67" t="s">
        <v>110</v>
      </c>
      <c r="H41" s="67" t="s">
        <v>316</v>
      </c>
      <c r="I41" s="69">
        <v>0.11344694</v>
      </c>
      <c r="J41" s="70">
        <v>119.41271157440602</v>
      </c>
    </row>
    <row r="42" spans="1:10" s="71" customFormat="1">
      <c r="A42" s="65" t="s">
        <v>438</v>
      </c>
      <c r="B42" s="66" t="s">
        <v>303</v>
      </c>
      <c r="C42" s="67" t="s">
        <v>297</v>
      </c>
      <c r="D42" s="67" t="s">
        <v>28</v>
      </c>
      <c r="E42" s="68" t="s">
        <v>310</v>
      </c>
      <c r="F42" s="67" t="s">
        <v>295</v>
      </c>
      <c r="G42" s="67" t="s">
        <v>110</v>
      </c>
      <c r="H42" s="67" t="s">
        <v>300</v>
      </c>
      <c r="I42" s="69">
        <v>0.20564112000000001</v>
      </c>
      <c r="J42" s="70">
        <v>250.05149659710594</v>
      </c>
    </row>
    <row r="43" spans="1:10" s="71" customFormat="1">
      <c r="A43" s="65" t="s">
        <v>438</v>
      </c>
      <c r="B43" s="66" t="s">
        <v>304</v>
      </c>
      <c r="C43" s="67" t="s">
        <v>294</v>
      </c>
      <c r="D43" s="67" t="s">
        <v>28</v>
      </c>
      <c r="E43" s="68" t="s">
        <v>311</v>
      </c>
      <c r="F43" s="67" t="s">
        <v>296</v>
      </c>
      <c r="G43" s="67" t="s">
        <v>110</v>
      </c>
      <c r="H43" s="67" t="s">
        <v>300</v>
      </c>
      <c r="I43" s="69">
        <v>7.4256890000000006E-2</v>
      </c>
      <c r="J43" s="70">
        <v>96.439776944594371</v>
      </c>
    </row>
    <row r="44" spans="1:10" s="71" customFormat="1">
      <c r="A44" s="65" t="s">
        <v>438</v>
      </c>
      <c r="B44" s="66" t="s">
        <v>335</v>
      </c>
      <c r="C44" s="67" t="s">
        <v>337</v>
      </c>
      <c r="D44" s="67" t="s">
        <v>28</v>
      </c>
      <c r="E44" s="68" t="s">
        <v>312</v>
      </c>
      <c r="F44" s="67" t="s">
        <v>298</v>
      </c>
      <c r="G44" s="67" t="s">
        <v>110</v>
      </c>
      <c r="H44" s="67" t="s">
        <v>299</v>
      </c>
      <c r="I44" s="69">
        <v>4.5695101000000002E-2</v>
      </c>
      <c r="J44" s="70">
        <v>63.045924441907516</v>
      </c>
    </row>
    <row r="45" spans="1:10" s="71" customFormat="1">
      <c r="A45" s="65" t="s">
        <v>438</v>
      </c>
      <c r="B45" s="66" t="s">
        <v>336</v>
      </c>
      <c r="C45" s="67" t="s">
        <v>338</v>
      </c>
      <c r="D45" s="67" t="s">
        <v>28</v>
      </c>
      <c r="E45" s="68" t="s">
        <v>200</v>
      </c>
      <c r="F45" s="67" t="s">
        <v>331</v>
      </c>
      <c r="G45" s="67" t="s">
        <v>329</v>
      </c>
      <c r="H45" s="67" t="s">
        <v>330</v>
      </c>
      <c r="I45" s="69">
        <v>3.0845792E-2</v>
      </c>
      <c r="J45" s="70">
        <v>33.512047632653974</v>
      </c>
    </row>
    <row r="46" spans="1:10" s="71" customFormat="1">
      <c r="A46" s="65" t="s">
        <v>456</v>
      </c>
      <c r="B46" s="66" t="s">
        <v>34</v>
      </c>
      <c r="C46" s="67" t="s">
        <v>41</v>
      </c>
      <c r="D46" s="67" t="s">
        <v>30</v>
      </c>
      <c r="E46" s="68" t="s">
        <v>199</v>
      </c>
      <c r="F46" s="67" t="s">
        <v>29</v>
      </c>
      <c r="G46" s="83" t="s">
        <v>109</v>
      </c>
      <c r="H46" s="83"/>
      <c r="I46" s="69">
        <v>4285.6630999999998</v>
      </c>
      <c r="J46" s="70">
        <v>2506405.3195711151</v>
      </c>
    </row>
    <row r="47" spans="1:10" s="71" customFormat="1">
      <c r="A47" s="65" t="s">
        <v>456</v>
      </c>
      <c r="B47" s="66" t="s">
        <v>31</v>
      </c>
      <c r="C47" s="67" t="s">
        <v>42</v>
      </c>
      <c r="D47" s="67" t="s">
        <v>30</v>
      </c>
      <c r="E47" s="68" t="s">
        <v>199</v>
      </c>
      <c r="F47" s="67" t="s">
        <v>29</v>
      </c>
      <c r="G47" s="83" t="s">
        <v>109</v>
      </c>
      <c r="H47" s="83"/>
      <c r="I47" s="69">
        <v>775.54660000000001</v>
      </c>
      <c r="J47" s="70">
        <v>507526.39109325997</v>
      </c>
    </row>
    <row r="48" spans="1:10" s="71" customFormat="1">
      <c r="A48" s="89" t="s">
        <v>456</v>
      </c>
      <c r="B48" s="84" t="s">
        <v>44</v>
      </c>
      <c r="C48" s="83" t="s">
        <v>164</v>
      </c>
      <c r="D48" s="83" t="s">
        <v>30</v>
      </c>
      <c r="E48" s="68" t="s">
        <v>199</v>
      </c>
      <c r="F48" s="83" t="s">
        <v>29</v>
      </c>
      <c r="G48" s="83" t="s">
        <v>109</v>
      </c>
      <c r="H48" s="83"/>
      <c r="I48" s="69">
        <v>0.32056327000000001</v>
      </c>
      <c r="J48" s="70">
        <v>377.3963270941411</v>
      </c>
    </row>
    <row r="49" spans="1:10" s="71" customFormat="1" ht="15" thickBot="1">
      <c r="A49" s="73" t="s">
        <v>456</v>
      </c>
      <c r="B49" s="74" t="s">
        <v>2</v>
      </c>
      <c r="C49" s="75" t="s">
        <v>165</v>
      </c>
      <c r="D49" s="75" t="s">
        <v>30</v>
      </c>
      <c r="E49" s="76" t="s">
        <v>201</v>
      </c>
      <c r="F49" s="75" t="s">
        <v>29</v>
      </c>
      <c r="G49" s="90" t="s">
        <v>109</v>
      </c>
      <c r="H49" s="90"/>
      <c r="I49" s="77">
        <v>679.59412999999995</v>
      </c>
      <c r="J49" s="78">
        <v>800080.21498625923</v>
      </c>
    </row>
  </sheetData>
  <sortState ref="A3:J49">
    <sortCondition ref="A3:A49"/>
    <sortCondition ref="B3:B49"/>
  </sortState>
  <conditionalFormatting sqref="I2:J2">
    <cfRule type="dataBar" priority="51">
      <dataBar>
        <cfvo type="min"/>
        <cfvo type="max"/>
        <color rgb="FF638EC6"/>
      </dataBar>
      <extLst>
        <ext xmlns:x14="http://schemas.microsoft.com/office/spreadsheetml/2009/9/main" uri="{B025F937-C7B1-47D3-B67F-A62EFF666E3E}">
          <x14:id>{B3DA42AB-4F17-BF40-AC8F-7865C48B423B}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3DA42AB-4F17-BF40-AC8F-7865C48B423B}">
            <x14:dataBar minLength="0" maxLength="100" border="1" negativeBarBorderColorSameAsPositive="0">
              <x14:cfvo type="autoMin"/>
              <x14:cfvo type="autoMax"/>
              <x14:borderColor rgb="FF638EC6"/>
              <x14:negativeFillColor rgb="FFFF0000"/>
              <x14:negativeBorderColor rgb="FFFF0000"/>
              <x14:axisColor rgb="FF000000"/>
            </x14:dataBar>
          </x14:cfRule>
          <xm:sqref>I2:J2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90" zoomScaleNormal="90" workbookViewId="0">
      <pane xSplit="2" ySplit="2" topLeftCell="C3" activePane="bottomRight" state="frozen"/>
      <selection pane="topRight" activeCell="G1" sqref="G1"/>
      <selection pane="bottomLeft" activeCell="A3" sqref="A3"/>
      <selection pane="bottomRight" activeCell="A3" sqref="A3"/>
    </sheetView>
  </sheetViews>
  <sheetFormatPr baseColWidth="10" defaultColWidth="10.6328125" defaultRowHeight="14.5"/>
  <cols>
    <col min="1" max="1" width="16.1796875" style="51" customWidth="1"/>
    <col min="2" max="2" width="32.453125" style="79" customWidth="1"/>
    <col min="3" max="3" width="107.1796875" style="51" customWidth="1"/>
    <col min="4" max="5" width="10.6328125" style="51" customWidth="1"/>
    <col min="6" max="6" width="20" style="51" customWidth="1"/>
    <col min="7" max="8" width="18.36328125" style="51" customWidth="1"/>
    <col min="9" max="9" width="16.1796875" style="51" customWidth="1"/>
    <col min="10" max="10" width="14.36328125" style="51" bestFit="1" customWidth="1"/>
    <col min="11" max="11" width="10.6328125" style="51"/>
    <col min="12" max="12" width="35.453125" style="51" customWidth="1"/>
    <col min="13" max="16384" width="10.6328125" style="51"/>
  </cols>
  <sheetData>
    <row r="1" spans="1:10" ht="23.5">
      <c r="A1" s="56" t="s">
        <v>592</v>
      </c>
      <c r="B1" s="57"/>
      <c r="C1" s="58"/>
      <c r="D1" s="58"/>
      <c r="E1" s="58"/>
      <c r="F1" s="58"/>
      <c r="G1" s="58"/>
      <c r="H1" s="58"/>
      <c r="I1" s="58"/>
      <c r="J1" s="59"/>
    </row>
    <row r="2" spans="1:10" s="64" customFormat="1">
      <c r="A2" s="60" t="s">
        <v>0</v>
      </c>
      <c r="B2" s="61" t="s">
        <v>147</v>
      </c>
      <c r="C2" s="61" t="s">
        <v>37</v>
      </c>
      <c r="D2" s="49" t="s">
        <v>26</v>
      </c>
      <c r="E2" s="49" t="s">
        <v>202</v>
      </c>
      <c r="F2" s="49" t="s">
        <v>258</v>
      </c>
      <c r="G2" s="49" t="s">
        <v>108</v>
      </c>
      <c r="H2" s="49" t="s">
        <v>129</v>
      </c>
      <c r="I2" s="62" t="s">
        <v>60</v>
      </c>
      <c r="J2" s="63" t="s">
        <v>611</v>
      </c>
    </row>
    <row r="3" spans="1:10" s="71" customFormat="1">
      <c r="A3" s="65" t="s">
        <v>437</v>
      </c>
      <c r="B3" s="66" t="s">
        <v>389</v>
      </c>
      <c r="C3" s="67" t="s">
        <v>125</v>
      </c>
      <c r="D3" s="67" t="s">
        <v>28</v>
      </c>
      <c r="E3" s="68" t="s">
        <v>200</v>
      </c>
      <c r="F3" s="67" t="s">
        <v>391</v>
      </c>
      <c r="G3" s="67" t="s">
        <v>393</v>
      </c>
      <c r="H3" s="67" t="s">
        <v>392</v>
      </c>
      <c r="I3" s="69">
        <v>1.3372922000000001E-2</v>
      </c>
      <c r="J3" s="70">
        <v>13.465215331960669</v>
      </c>
    </row>
    <row r="4" spans="1:10" s="71" customFormat="1">
      <c r="A4" s="65" t="s">
        <v>437</v>
      </c>
      <c r="B4" s="66" t="s">
        <v>387</v>
      </c>
      <c r="C4" s="67" t="s">
        <v>127</v>
      </c>
      <c r="D4" s="67" t="s">
        <v>28</v>
      </c>
      <c r="E4" s="68" t="s">
        <v>200</v>
      </c>
      <c r="F4" s="67" t="s">
        <v>128</v>
      </c>
      <c r="G4" s="67" t="s">
        <v>393</v>
      </c>
      <c r="H4" s="67" t="s">
        <v>392</v>
      </c>
      <c r="I4" s="69">
        <v>9.2205654000000001E-3</v>
      </c>
      <c r="J4" s="70">
        <v>11.977133861136949</v>
      </c>
    </row>
    <row r="5" spans="1:10" s="71" customFormat="1">
      <c r="A5" s="65" t="s">
        <v>437</v>
      </c>
      <c r="B5" s="66" t="s">
        <v>388</v>
      </c>
      <c r="C5" s="67" t="s">
        <v>390</v>
      </c>
      <c r="D5" s="67" t="s">
        <v>28</v>
      </c>
      <c r="E5" s="68" t="s">
        <v>216</v>
      </c>
      <c r="F5" s="67" t="s">
        <v>51</v>
      </c>
      <c r="G5" s="67" t="s">
        <v>394</v>
      </c>
      <c r="H5" s="67" t="s">
        <v>395</v>
      </c>
      <c r="I5" s="69">
        <v>1.1167678E-2</v>
      </c>
      <c r="J5" s="70">
        <v>13.93633574224204</v>
      </c>
    </row>
    <row r="6" spans="1:10" s="71" customFormat="1">
      <c r="A6" s="65" t="s">
        <v>437</v>
      </c>
      <c r="B6" s="66" t="s">
        <v>399</v>
      </c>
      <c r="C6" s="67" t="s">
        <v>400</v>
      </c>
      <c r="D6" s="67" t="s">
        <v>28</v>
      </c>
      <c r="E6" s="68" t="s">
        <v>200</v>
      </c>
      <c r="F6" s="67" t="s">
        <v>155</v>
      </c>
      <c r="G6" s="67" t="s">
        <v>402</v>
      </c>
      <c r="H6" s="67" t="s">
        <v>401</v>
      </c>
      <c r="I6" s="69">
        <v>2.3910058E-4</v>
      </c>
      <c r="J6" s="70">
        <v>0.33099667958134404</v>
      </c>
    </row>
    <row r="7" spans="1:10" s="71" customFormat="1">
      <c r="A7" s="65" t="s">
        <v>437</v>
      </c>
      <c r="B7" s="66" t="s">
        <v>447</v>
      </c>
      <c r="C7" s="67" t="s">
        <v>250</v>
      </c>
      <c r="D7" s="67" t="s">
        <v>28</v>
      </c>
      <c r="E7" s="68" t="s">
        <v>200</v>
      </c>
      <c r="F7" s="67" t="s">
        <v>155</v>
      </c>
      <c r="G7" s="67" t="s">
        <v>396</v>
      </c>
      <c r="H7" s="67" t="s">
        <v>397</v>
      </c>
      <c r="I7" s="69">
        <v>1.2499263E-2</v>
      </c>
      <c r="J7" s="70">
        <v>15.2718451462299</v>
      </c>
    </row>
    <row r="8" spans="1:10" s="71" customFormat="1">
      <c r="A8" s="65" t="s">
        <v>437</v>
      </c>
      <c r="B8" s="66" t="s">
        <v>167</v>
      </c>
      <c r="C8" s="72" t="s">
        <v>281</v>
      </c>
      <c r="D8" s="67" t="s">
        <v>28</v>
      </c>
      <c r="E8" s="68" t="s">
        <v>309</v>
      </c>
      <c r="F8" s="67" t="s">
        <v>194</v>
      </c>
      <c r="G8" s="67" t="s">
        <v>273</v>
      </c>
      <c r="H8" s="67" t="s">
        <v>191</v>
      </c>
      <c r="I8" s="69">
        <v>0.29274176000000002</v>
      </c>
      <c r="J8" s="70">
        <v>292.97211279539545</v>
      </c>
    </row>
    <row r="9" spans="1:10" s="71" customFormat="1">
      <c r="A9" s="65" t="s">
        <v>437</v>
      </c>
      <c r="B9" s="66" t="s">
        <v>168</v>
      </c>
      <c r="C9" s="72" t="s">
        <v>282</v>
      </c>
      <c r="D9" s="67" t="s">
        <v>28</v>
      </c>
      <c r="E9" s="68" t="s">
        <v>309</v>
      </c>
      <c r="F9" s="67" t="s">
        <v>83</v>
      </c>
      <c r="G9" s="67" t="s">
        <v>273</v>
      </c>
      <c r="H9" s="67" t="s">
        <v>190</v>
      </c>
      <c r="I9" s="69">
        <v>2.9473590000000001E-2</v>
      </c>
      <c r="J9" s="70">
        <v>29.744354649810532</v>
      </c>
    </row>
    <row r="10" spans="1:10" s="71" customFormat="1">
      <c r="A10" s="65" t="s">
        <v>437</v>
      </c>
      <c r="B10" s="66" t="s">
        <v>169</v>
      </c>
      <c r="C10" s="67" t="s">
        <v>172</v>
      </c>
      <c r="D10" s="67" t="s">
        <v>28</v>
      </c>
      <c r="E10" s="68" t="s">
        <v>309</v>
      </c>
      <c r="F10" s="67" t="s">
        <v>283</v>
      </c>
      <c r="G10" s="67" t="s">
        <v>276</v>
      </c>
      <c r="H10" s="67" t="s">
        <v>279</v>
      </c>
      <c r="I10" s="69">
        <v>5.3944858999999998E-2</v>
      </c>
      <c r="J10" s="70">
        <v>63.609473438008408</v>
      </c>
    </row>
    <row r="11" spans="1:10" s="71" customFormat="1">
      <c r="A11" s="65" t="s">
        <v>38</v>
      </c>
      <c r="B11" s="66" t="s">
        <v>284</v>
      </c>
      <c r="C11" s="67" t="s">
        <v>212</v>
      </c>
      <c r="D11" s="67" t="s">
        <v>215</v>
      </c>
      <c r="E11" s="68" t="s">
        <v>217</v>
      </c>
      <c r="F11" s="67" t="s">
        <v>455</v>
      </c>
      <c r="G11" s="67" t="s">
        <v>218</v>
      </c>
      <c r="H11" s="67" t="s">
        <v>175</v>
      </c>
      <c r="I11" s="69">
        <v>5.5192583000000003E-2</v>
      </c>
      <c r="J11" s="70">
        <v>74.138500861070739</v>
      </c>
    </row>
    <row r="12" spans="1:10" s="71" customFormat="1">
      <c r="A12" s="65" t="s">
        <v>38</v>
      </c>
      <c r="B12" s="66" t="s">
        <v>114</v>
      </c>
      <c r="C12" s="67" t="s">
        <v>226</v>
      </c>
      <c r="D12" s="67" t="s">
        <v>242</v>
      </c>
      <c r="E12" s="68" t="s">
        <v>313</v>
      </c>
      <c r="F12" s="67" t="s">
        <v>223</v>
      </c>
      <c r="G12" s="67" t="s">
        <v>227</v>
      </c>
      <c r="H12" s="67" t="s">
        <v>228</v>
      </c>
      <c r="I12" s="69">
        <v>1.4641096</v>
      </c>
      <c r="J12" s="70">
        <v>937.170910924483</v>
      </c>
    </row>
    <row r="13" spans="1:10" s="71" customFormat="1">
      <c r="A13" s="65" t="s">
        <v>438</v>
      </c>
      <c r="B13" s="66" t="s">
        <v>48</v>
      </c>
      <c r="C13" s="67" t="s">
        <v>131</v>
      </c>
      <c r="D13" s="67" t="s">
        <v>28</v>
      </c>
      <c r="E13" s="68" t="s">
        <v>200</v>
      </c>
      <c r="F13" s="67" t="s">
        <v>49</v>
      </c>
      <c r="G13" s="67" t="s">
        <v>360</v>
      </c>
      <c r="H13" s="67" t="s">
        <v>132</v>
      </c>
      <c r="I13" s="69">
        <v>2.4259216E-2</v>
      </c>
      <c r="J13" s="70">
        <v>17.312235200913868</v>
      </c>
    </row>
    <row r="14" spans="1:10" s="71" customFormat="1">
      <c r="A14" s="65" t="s">
        <v>438</v>
      </c>
      <c r="B14" s="66" t="s">
        <v>55</v>
      </c>
      <c r="C14" s="67" t="s">
        <v>137</v>
      </c>
      <c r="D14" s="67" t="s">
        <v>27</v>
      </c>
      <c r="E14" s="68" t="s">
        <v>216</v>
      </c>
      <c r="F14" s="67" t="s">
        <v>47</v>
      </c>
      <c r="G14" s="67" t="s">
        <v>110</v>
      </c>
      <c r="H14" s="67" t="s">
        <v>408</v>
      </c>
      <c r="I14" s="69">
        <v>2.3317665000000001E-2</v>
      </c>
      <c r="J14" s="70">
        <v>35.005687060780502</v>
      </c>
    </row>
    <row r="15" spans="1:10" s="71" customFormat="1">
      <c r="A15" s="65" t="s">
        <v>438</v>
      </c>
      <c r="B15" s="66" t="s">
        <v>56</v>
      </c>
      <c r="C15" s="67" t="s">
        <v>246</v>
      </c>
      <c r="D15" s="67" t="s">
        <v>28</v>
      </c>
      <c r="E15" s="68" t="s">
        <v>216</v>
      </c>
      <c r="F15" s="67" t="s">
        <v>415</v>
      </c>
      <c r="G15" s="67" t="s">
        <v>416</v>
      </c>
      <c r="H15" s="67" t="s">
        <v>417</v>
      </c>
      <c r="I15" s="69">
        <v>3.4961933000000001E-2</v>
      </c>
      <c r="J15" s="70">
        <v>51.137872897834605</v>
      </c>
    </row>
    <row r="16" spans="1:10" s="71" customFormat="1">
      <c r="A16" s="65" t="s">
        <v>438</v>
      </c>
      <c r="B16" s="66" t="s">
        <v>160</v>
      </c>
      <c r="C16" s="67" t="s">
        <v>418</v>
      </c>
      <c r="D16" s="67" t="s">
        <v>28</v>
      </c>
      <c r="E16" s="68" t="s">
        <v>380</v>
      </c>
      <c r="F16" s="67" t="s">
        <v>411</v>
      </c>
      <c r="G16" s="67" t="s">
        <v>416</v>
      </c>
      <c r="H16" s="67" t="s">
        <v>419</v>
      </c>
      <c r="I16" s="69">
        <v>0.22940548999999999</v>
      </c>
      <c r="J16" s="70">
        <v>279.27793217704232</v>
      </c>
    </row>
    <row r="17" spans="1:10" s="71" customFormat="1">
      <c r="A17" s="65" t="s">
        <v>438</v>
      </c>
      <c r="B17" s="66" t="s">
        <v>57</v>
      </c>
      <c r="C17" s="67" t="s">
        <v>412</v>
      </c>
      <c r="D17" s="67" t="s">
        <v>28</v>
      </c>
      <c r="E17" s="68" t="s">
        <v>200</v>
      </c>
      <c r="F17" s="67" t="s">
        <v>413</v>
      </c>
      <c r="G17" s="67" t="s">
        <v>110</v>
      </c>
      <c r="H17" s="67" t="s">
        <v>414</v>
      </c>
      <c r="I17" s="69">
        <v>0.14324999999999999</v>
      </c>
      <c r="J17" s="70">
        <v>178.6164082908914</v>
      </c>
    </row>
    <row r="18" spans="1:10" s="71" customFormat="1">
      <c r="A18" s="65" t="s">
        <v>438</v>
      </c>
      <c r="B18" s="66" t="s">
        <v>58</v>
      </c>
      <c r="C18" s="67" t="s">
        <v>409</v>
      </c>
      <c r="D18" s="67" t="s">
        <v>28</v>
      </c>
      <c r="E18" s="68" t="s">
        <v>216</v>
      </c>
      <c r="F18" s="67" t="s">
        <v>411</v>
      </c>
      <c r="G18" s="67" t="s">
        <v>134</v>
      </c>
      <c r="H18" s="67" t="s">
        <v>410</v>
      </c>
      <c r="I18" s="69">
        <v>2.6666532E-2</v>
      </c>
      <c r="J18" s="70">
        <v>42.501973704446463</v>
      </c>
    </row>
    <row r="19" spans="1:10" s="71" customFormat="1" ht="15" thickBot="1">
      <c r="A19" s="73" t="s">
        <v>438</v>
      </c>
      <c r="B19" s="74" t="s">
        <v>343</v>
      </c>
      <c r="C19" s="75" t="s">
        <v>140</v>
      </c>
      <c r="D19" s="75" t="s">
        <v>28</v>
      </c>
      <c r="E19" s="76" t="s">
        <v>216</v>
      </c>
      <c r="F19" s="75" t="s">
        <v>342</v>
      </c>
      <c r="G19" s="75" t="s">
        <v>341</v>
      </c>
      <c r="H19" s="75" t="s">
        <v>340</v>
      </c>
      <c r="I19" s="77">
        <v>0.11774149</v>
      </c>
      <c r="J19" s="78">
        <v>125.3715286226643</v>
      </c>
    </row>
  </sheetData>
  <sortState ref="A3:O19">
    <sortCondition ref="A3:A19"/>
    <sortCondition ref="B3:B1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zoomScale="150" zoomScaleNormal="90" workbookViewId="0">
      <selection activeCell="A36" sqref="A36"/>
    </sheetView>
  </sheetViews>
  <sheetFormatPr baseColWidth="10" defaultColWidth="10.81640625" defaultRowHeight="14.5"/>
  <cols>
    <col min="1" max="1" width="67" style="7" customWidth="1"/>
    <col min="2" max="2" width="12.36328125" style="7" customWidth="1"/>
    <col min="3" max="3" width="20.453125" style="39" customWidth="1"/>
    <col min="4" max="11" width="12.36328125" style="7" customWidth="1"/>
    <col min="12" max="16384" width="10.81640625" style="7"/>
  </cols>
  <sheetData>
    <row r="1" spans="1:25">
      <c r="A1" s="16" t="s">
        <v>120</v>
      </c>
      <c r="B1" s="28"/>
      <c r="C1" s="28"/>
      <c r="D1" s="28"/>
      <c r="E1" s="28"/>
      <c r="F1" s="29"/>
      <c r="G1" s="29"/>
      <c r="H1" s="29"/>
      <c r="I1" s="29"/>
      <c r="J1" s="29"/>
      <c r="K1" s="29"/>
      <c r="L1" s="91"/>
      <c r="M1" s="91"/>
      <c r="N1" s="91"/>
      <c r="O1" s="91"/>
      <c r="P1" s="91"/>
      <c r="Q1" s="91"/>
      <c r="R1" s="91"/>
      <c r="S1" s="91"/>
      <c r="T1" s="91"/>
      <c r="U1" s="91"/>
      <c r="V1" s="91"/>
      <c r="W1" s="91"/>
      <c r="X1" s="91"/>
      <c r="Y1" s="91"/>
    </row>
    <row r="2" spans="1:25" ht="15" thickBot="1">
      <c r="A2" s="25"/>
      <c r="B2" s="25"/>
      <c r="C2" s="26"/>
      <c r="D2" s="26"/>
      <c r="E2" s="45"/>
      <c r="F2" s="45"/>
      <c r="G2" s="92"/>
      <c r="H2" s="91"/>
      <c r="I2" s="91"/>
      <c r="J2" s="91"/>
      <c r="K2" s="91"/>
      <c r="L2" s="91"/>
      <c r="M2" s="91"/>
      <c r="N2" s="91"/>
      <c r="O2" s="91"/>
      <c r="P2" s="91"/>
      <c r="Q2" s="91"/>
      <c r="R2" s="91"/>
      <c r="S2" s="91"/>
      <c r="T2" s="91"/>
      <c r="U2" s="91"/>
      <c r="V2" s="91"/>
      <c r="W2" s="91"/>
      <c r="X2" s="91"/>
      <c r="Y2" s="91"/>
    </row>
    <row r="3" spans="1:25" ht="43.5">
      <c r="A3" s="96" t="s">
        <v>158</v>
      </c>
      <c r="B3" s="97" t="s">
        <v>61</v>
      </c>
      <c r="C3" s="98" t="s">
        <v>37</v>
      </c>
      <c r="D3" s="97" t="s">
        <v>121</v>
      </c>
      <c r="E3" s="99" t="s">
        <v>60</v>
      </c>
      <c r="F3" s="100" t="s">
        <v>611</v>
      </c>
      <c r="G3" s="93"/>
      <c r="H3" s="93"/>
      <c r="I3" s="93"/>
      <c r="J3" s="93"/>
      <c r="K3" s="93"/>
      <c r="L3" s="93"/>
      <c r="M3" s="93"/>
      <c r="N3" s="93"/>
      <c r="O3" s="93"/>
      <c r="P3" s="93"/>
      <c r="Q3" s="93"/>
      <c r="R3" s="93"/>
      <c r="S3" s="93"/>
      <c r="T3" s="93"/>
      <c r="U3" s="93"/>
      <c r="V3" s="93"/>
      <c r="W3" s="93"/>
      <c r="X3" s="93"/>
      <c r="Y3" s="93"/>
    </row>
    <row r="4" spans="1:25">
      <c r="A4" s="101" t="s">
        <v>180</v>
      </c>
      <c r="B4" s="41"/>
      <c r="C4" s="31"/>
      <c r="D4" s="31"/>
      <c r="E4" s="40"/>
      <c r="F4" s="102"/>
      <c r="G4" s="91"/>
      <c r="H4" s="91"/>
      <c r="I4" s="91"/>
      <c r="J4" s="91"/>
      <c r="K4" s="91"/>
      <c r="L4" s="91"/>
      <c r="M4" s="91"/>
      <c r="N4" s="91"/>
      <c r="O4" s="91"/>
      <c r="P4" s="91"/>
      <c r="Q4" s="91"/>
      <c r="R4" s="91"/>
      <c r="S4" s="91"/>
      <c r="T4" s="91"/>
      <c r="U4" s="91"/>
      <c r="V4" s="91"/>
      <c r="W4" s="91"/>
      <c r="X4" s="91"/>
      <c r="Y4" s="91"/>
    </row>
    <row r="5" spans="1:25" customFormat="1">
      <c r="A5" s="103" t="s">
        <v>420</v>
      </c>
      <c r="B5" s="1" t="s">
        <v>184</v>
      </c>
      <c r="C5" s="37"/>
      <c r="D5" s="8"/>
      <c r="E5" s="42">
        <v>8.1196589999999999E-2</v>
      </c>
      <c r="F5" s="104">
        <v>800.59155651756998</v>
      </c>
      <c r="G5" s="9"/>
      <c r="H5" s="91"/>
      <c r="I5" s="91"/>
      <c r="J5" s="91"/>
      <c r="K5" s="91"/>
      <c r="L5" s="9"/>
      <c r="M5" s="9"/>
      <c r="N5" s="9"/>
      <c r="O5" s="9"/>
      <c r="P5" s="9"/>
      <c r="Q5" s="9"/>
      <c r="R5" s="9"/>
      <c r="S5" s="9"/>
      <c r="T5" s="9"/>
      <c r="U5" s="94"/>
      <c r="V5" s="9"/>
      <c r="W5" s="9"/>
      <c r="X5" s="9"/>
      <c r="Y5" s="9"/>
    </row>
    <row r="6" spans="1:25" customFormat="1">
      <c r="A6" s="103" t="s">
        <v>421</v>
      </c>
      <c r="B6" s="1" t="s">
        <v>184</v>
      </c>
      <c r="C6" s="37"/>
      <c r="D6" s="8"/>
      <c r="E6" s="42">
        <v>14.925219999999999</v>
      </c>
      <c r="F6" s="104">
        <v>28530.484224577904</v>
      </c>
      <c r="G6" s="9"/>
      <c r="H6" s="91"/>
      <c r="I6" s="91"/>
      <c r="J6" s="91"/>
      <c r="K6" s="91"/>
      <c r="L6" s="9"/>
      <c r="M6" s="9"/>
      <c r="N6" s="9"/>
      <c r="O6" s="9"/>
      <c r="P6" s="9"/>
      <c r="Q6" s="9"/>
      <c r="R6" s="9"/>
      <c r="S6" s="9"/>
      <c r="T6" s="9"/>
      <c r="U6" s="94"/>
      <c r="V6" s="9"/>
      <c r="W6" s="9"/>
      <c r="X6" s="9"/>
      <c r="Y6" s="9"/>
    </row>
    <row r="7" spans="1:25" customFormat="1">
      <c r="A7" s="103" t="s">
        <v>210</v>
      </c>
      <c r="B7" s="1" t="s">
        <v>461</v>
      </c>
      <c r="C7" s="37" t="s">
        <v>468</v>
      </c>
      <c r="D7" s="37" t="s">
        <v>459</v>
      </c>
      <c r="E7" s="46">
        <v>3257.0668999999998</v>
      </c>
      <c r="F7" s="104">
        <v>8752286.2194483094</v>
      </c>
      <c r="G7" s="9"/>
      <c r="H7" s="91"/>
      <c r="I7" s="91"/>
      <c r="J7" s="91"/>
      <c r="K7" s="91"/>
      <c r="L7" s="9"/>
      <c r="M7" s="9"/>
      <c r="N7" s="9"/>
      <c r="O7" s="9"/>
      <c r="P7" s="9"/>
      <c r="Q7" s="9"/>
      <c r="R7" s="9"/>
      <c r="S7" s="9"/>
      <c r="T7" s="9"/>
      <c r="U7" s="9"/>
      <c r="V7" s="9"/>
      <c r="W7" s="9"/>
      <c r="X7" s="9"/>
      <c r="Y7" s="9"/>
    </row>
    <row r="8" spans="1:25" customFormat="1">
      <c r="A8" s="103" t="s">
        <v>440</v>
      </c>
      <c r="B8" s="1" t="s">
        <v>462</v>
      </c>
      <c r="C8" s="37" t="s">
        <v>469</v>
      </c>
      <c r="D8" s="37" t="s">
        <v>459</v>
      </c>
      <c r="E8" s="46">
        <v>721.66458</v>
      </c>
      <c r="F8" s="104">
        <v>1971104.8630199293</v>
      </c>
      <c r="G8" s="9"/>
      <c r="H8" s="91"/>
      <c r="I8" s="91"/>
      <c r="J8" s="91"/>
      <c r="K8" s="91"/>
      <c r="L8" s="9"/>
      <c r="M8" s="9"/>
      <c r="N8" s="9"/>
      <c r="O8" s="9"/>
      <c r="P8" s="9"/>
      <c r="Q8" s="9"/>
      <c r="R8" s="9"/>
      <c r="S8" s="9"/>
      <c r="T8" s="9"/>
      <c r="U8" s="9"/>
      <c r="V8" s="9"/>
      <c r="W8" s="9"/>
      <c r="X8" s="9"/>
      <c r="Y8" s="9"/>
    </row>
    <row r="9" spans="1:25" customFormat="1">
      <c r="A9" s="103" t="s">
        <v>211</v>
      </c>
      <c r="B9" s="1" t="s">
        <v>462</v>
      </c>
      <c r="C9" s="37" t="s">
        <v>470</v>
      </c>
      <c r="D9" s="37" t="s">
        <v>460</v>
      </c>
      <c r="E9" s="46">
        <v>2886.3921999999998</v>
      </c>
      <c r="F9" s="104">
        <v>6185808.046050013</v>
      </c>
      <c r="G9" s="9"/>
      <c r="H9" s="91"/>
      <c r="I9" s="91"/>
      <c r="J9" s="91"/>
      <c r="K9" s="91"/>
      <c r="L9" s="9"/>
      <c r="M9" s="9"/>
      <c r="N9" s="9"/>
      <c r="O9" s="9"/>
      <c r="P9" s="9"/>
      <c r="Q9" s="9"/>
      <c r="R9" s="9"/>
      <c r="S9" s="9"/>
      <c r="T9" s="9"/>
      <c r="U9" s="9"/>
      <c r="V9" s="9"/>
      <c r="W9" s="9"/>
      <c r="X9" s="9"/>
      <c r="Y9" s="9"/>
    </row>
    <row r="10" spans="1:25" customFormat="1">
      <c r="A10" s="103" t="s">
        <v>425</v>
      </c>
      <c r="B10" s="48" t="s">
        <v>463</v>
      </c>
      <c r="C10" s="37" t="s">
        <v>471</v>
      </c>
      <c r="D10" s="8"/>
      <c r="E10" s="42">
        <v>0.53076179999999995</v>
      </c>
      <c r="F10" s="104">
        <v>660.00045829705505</v>
      </c>
      <c r="G10" s="9"/>
      <c r="H10" s="91"/>
      <c r="I10" s="91"/>
      <c r="J10" s="91"/>
      <c r="K10" s="91"/>
      <c r="L10" s="9"/>
      <c r="M10" s="9"/>
      <c r="N10" s="9"/>
      <c r="O10" s="9"/>
      <c r="P10" s="9"/>
      <c r="Q10" s="9"/>
      <c r="R10" s="9"/>
      <c r="S10" s="9"/>
      <c r="T10" s="9"/>
      <c r="U10" s="94"/>
      <c r="V10" s="9"/>
      <c r="W10" s="9"/>
      <c r="X10" s="9"/>
      <c r="Y10" s="9"/>
    </row>
    <row r="11" spans="1:25" customFormat="1">
      <c r="A11" s="103" t="s">
        <v>441</v>
      </c>
      <c r="B11" s="1" t="s">
        <v>464</v>
      </c>
      <c r="C11" s="37" t="s">
        <v>432</v>
      </c>
      <c r="D11" s="8"/>
      <c r="E11" s="42">
        <v>0.12650078000000001</v>
      </c>
      <c r="F11" s="104">
        <v>395.68398394124301</v>
      </c>
      <c r="G11" s="9"/>
      <c r="H11" s="91"/>
      <c r="I11" s="91"/>
      <c r="J11" s="91"/>
      <c r="K11" s="91"/>
      <c r="L11" s="9"/>
      <c r="M11" s="9"/>
      <c r="N11" s="9"/>
      <c r="O11" s="9"/>
      <c r="P11" s="9"/>
      <c r="Q11" s="9"/>
      <c r="R11" s="9"/>
      <c r="S11" s="9"/>
      <c r="T11" s="9"/>
      <c r="U11" s="94"/>
      <c r="V11" s="9"/>
      <c r="W11" s="9"/>
      <c r="X11" s="9"/>
      <c r="Y11" s="9"/>
    </row>
    <row r="12" spans="1:25" customFormat="1">
      <c r="A12" s="103" t="s">
        <v>442</v>
      </c>
      <c r="B12" s="1" t="s">
        <v>457</v>
      </c>
      <c r="C12" s="37" t="s">
        <v>433</v>
      </c>
      <c r="D12" s="8"/>
      <c r="E12" s="43">
        <v>2.3422274999999999E-2</v>
      </c>
      <c r="F12" s="105">
        <v>23.447429895265422</v>
      </c>
      <c r="G12" s="94"/>
      <c r="H12" s="91"/>
      <c r="I12" s="91"/>
      <c r="J12" s="91"/>
      <c r="K12" s="91"/>
      <c r="L12" s="94"/>
      <c r="M12" s="94"/>
      <c r="N12" s="94"/>
      <c r="O12" s="94"/>
      <c r="P12" s="94"/>
      <c r="Q12" s="94"/>
      <c r="R12" s="94"/>
      <c r="S12" s="94"/>
      <c r="T12" s="94"/>
      <c r="U12" s="94"/>
      <c r="V12" s="94"/>
      <c r="W12" s="9"/>
      <c r="X12" s="94"/>
      <c r="Y12" s="94"/>
    </row>
    <row r="13" spans="1:25" customFormat="1">
      <c r="A13" s="106" t="s">
        <v>430</v>
      </c>
      <c r="B13" s="1" t="s">
        <v>465</v>
      </c>
      <c r="C13" s="50" t="s">
        <v>431</v>
      </c>
      <c r="D13" s="1"/>
      <c r="E13" s="95">
        <v>44.739713999999999</v>
      </c>
      <c r="F13" s="107">
        <v>90714.552056472254</v>
      </c>
      <c r="G13" s="9"/>
      <c r="H13" s="91"/>
      <c r="I13" s="91"/>
      <c r="J13" s="91"/>
      <c r="K13" s="91"/>
      <c r="L13" s="9"/>
      <c r="M13" s="9"/>
      <c r="N13" s="9"/>
      <c r="O13" s="9"/>
      <c r="P13" s="9"/>
      <c r="Q13" s="9"/>
      <c r="R13" s="9"/>
      <c r="S13" s="9"/>
      <c r="T13" s="9"/>
      <c r="U13" s="9"/>
      <c r="V13" s="9"/>
      <c r="W13" s="9"/>
      <c r="X13" s="9"/>
      <c r="Y13" s="9"/>
    </row>
    <row r="14" spans="1:25" customFormat="1">
      <c r="A14" s="106" t="s">
        <v>434</v>
      </c>
      <c r="B14" s="1" t="s">
        <v>465</v>
      </c>
      <c r="C14" s="50"/>
      <c r="D14" s="1"/>
      <c r="E14" s="95">
        <v>9.8855488000000005E-2</v>
      </c>
      <c r="F14" s="107">
        <v>58.551380806178535</v>
      </c>
      <c r="G14" s="9"/>
      <c r="H14" s="91"/>
      <c r="I14" s="91"/>
      <c r="J14" s="91"/>
      <c r="K14" s="91"/>
      <c r="L14" s="9"/>
      <c r="M14" s="9"/>
      <c r="N14" s="9"/>
      <c r="O14" s="9"/>
      <c r="P14" s="9"/>
      <c r="Q14" s="9"/>
      <c r="R14" s="9"/>
      <c r="S14" s="9"/>
      <c r="T14" s="9"/>
      <c r="U14" s="9"/>
      <c r="V14" s="9"/>
      <c r="W14" s="9"/>
      <c r="X14" s="9"/>
      <c r="Y14" s="9"/>
    </row>
    <row r="15" spans="1:25" customFormat="1">
      <c r="A15" s="103" t="s">
        <v>443</v>
      </c>
      <c r="B15" s="1" t="s">
        <v>466</v>
      </c>
      <c r="C15" s="37"/>
      <c r="D15" s="8"/>
      <c r="E15" s="42">
        <v>9.0860707999999999</v>
      </c>
      <c r="F15" s="104">
        <v>19975.9370593764</v>
      </c>
      <c r="G15" s="9"/>
      <c r="H15" s="91"/>
      <c r="I15" s="91"/>
      <c r="J15" s="91"/>
      <c r="K15" s="91"/>
      <c r="L15" s="9"/>
      <c r="M15" s="9"/>
      <c r="N15" s="9"/>
      <c r="O15" s="9"/>
      <c r="P15" s="9"/>
      <c r="Q15" s="9"/>
      <c r="R15" s="9"/>
      <c r="S15" s="9"/>
      <c r="T15" s="9"/>
      <c r="U15" s="94"/>
      <c r="V15" s="9"/>
      <c r="W15" s="9"/>
      <c r="X15" s="9"/>
      <c r="Y15" s="9"/>
    </row>
    <row r="16" spans="1:25" customFormat="1">
      <c r="A16" s="103" t="s">
        <v>444</v>
      </c>
      <c r="B16" s="1" t="s">
        <v>466</v>
      </c>
      <c r="C16" s="37"/>
      <c r="D16" s="8"/>
      <c r="E16" s="42">
        <v>1.0354151</v>
      </c>
      <c r="F16" s="104">
        <v>662.36638319429596</v>
      </c>
      <c r="G16" s="9"/>
      <c r="H16" s="91"/>
      <c r="I16" s="91"/>
      <c r="J16" s="91"/>
      <c r="K16" s="91"/>
      <c r="L16" s="9"/>
      <c r="M16" s="9"/>
      <c r="N16" s="9"/>
      <c r="O16" s="9"/>
      <c r="P16" s="9"/>
      <c r="Q16" s="9"/>
      <c r="R16" s="9"/>
      <c r="S16" s="9"/>
      <c r="T16" s="9"/>
      <c r="U16" s="94"/>
      <c r="V16" s="9"/>
      <c r="W16" s="9"/>
      <c r="X16" s="9"/>
      <c r="Y16" s="9"/>
    </row>
    <row r="17" spans="1:25" customFormat="1">
      <c r="A17" s="103" t="s">
        <v>427</v>
      </c>
      <c r="B17" s="1" t="s">
        <v>458</v>
      </c>
      <c r="C17" s="37"/>
      <c r="D17" s="8"/>
      <c r="E17" s="43">
        <v>3.5215815000000001E-6</v>
      </c>
      <c r="F17" s="105">
        <v>5.3953789685957688E-3</v>
      </c>
      <c r="G17" s="94"/>
      <c r="H17" s="91"/>
      <c r="I17" s="91"/>
      <c r="J17" s="91"/>
      <c r="K17" s="91"/>
      <c r="L17" s="94"/>
      <c r="M17" s="94"/>
      <c r="N17" s="94"/>
      <c r="O17" s="94"/>
      <c r="P17" s="94"/>
      <c r="Q17" s="94"/>
      <c r="R17" s="94"/>
      <c r="S17" s="94"/>
      <c r="T17" s="94"/>
      <c r="U17" s="94"/>
      <c r="V17" s="94"/>
      <c r="W17" s="9"/>
      <c r="X17" s="94"/>
      <c r="Y17" s="94"/>
    </row>
    <row r="18" spans="1:25" customFormat="1">
      <c r="A18" s="103" t="s">
        <v>422</v>
      </c>
      <c r="B18" s="1" t="s">
        <v>184</v>
      </c>
      <c r="C18" s="37"/>
      <c r="D18" s="8"/>
      <c r="E18" s="42">
        <v>8.7237796999999997</v>
      </c>
      <c r="F18" s="104">
        <v>5685.0138150000002</v>
      </c>
      <c r="G18" s="9"/>
      <c r="H18" s="91"/>
      <c r="I18" s="91"/>
      <c r="J18" s="91"/>
      <c r="K18" s="91"/>
      <c r="L18" s="9"/>
      <c r="M18" s="9"/>
      <c r="N18" s="9"/>
      <c r="O18" s="9"/>
      <c r="P18" s="9"/>
      <c r="Q18" s="9"/>
      <c r="R18" s="9"/>
      <c r="S18" s="9"/>
      <c r="T18" s="9"/>
      <c r="U18" s="9"/>
      <c r="V18" s="9"/>
      <c r="W18" s="9"/>
      <c r="X18" s="9"/>
      <c r="Y18" s="9"/>
    </row>
    <row r="19" spans="1:25" customFormat="1">
      <c r="A19" s="103" t="s">
        <v>445</v>
      </c>
      <c r="B19" s="1" t="s">
        <v>467</v>
      </c>
      <c r="C19" s="37"/>
      <c r="D19" s="8"/>
      <c r="E19" s="42">
        <v>0.73025742000000005</v>
      </c>
      <c r="F19" s="104">
        <v>453.64278242000006</v>
      </c>
      <c r="G19" s="9"/>
      <c r="H19" s="91"/>
      <c r="I19" s="91"/>
      <c r="J19" s="91"/>
      <c r="K19" s="91"/>
      <c r="L19" s="9"/>
      <c r="M19" s="9"/>
      <c r="N19" s="9"/>
      <c r="O19" s="9"/>
      <c r="P19" s="9"/>
      <c r="Q19" s="9"/>
      <c r="R19" s="9"/>
      <c r="S19" s="9"/>
      <c r="T19" s="9"/>
      <c r="U19" s="9"/>
      <c r="V19" s="9"/>
      <c r="W19" s="9"/>
      <c r="X19" s="9"/>
      <c r="Y19" s="9"/>
    </row>
    <row r="20" spans="1:25" customFormat="1">
      <c r="A20" s="103" t="s">
        <v>424</v>
      </c>
      <c r="B20" s="48" t="s">
        <v>463</v>
      </c>
      <c r="C20" s="37" t="s">
        <v>472</v>
      </c>
      <c r="D20" s="8"/>
      <c r="E20" s="42">
        <v>5.2844189999999998</v>
      </c>
      <c r="F20" s="104">
        <v>7480.9350657257582</v>
      </c>
      <c r="G20" s="9"/>
      <c r="H20" s="91"/>
      <c r="I20" s="91"/>
      <c r="J20" s="91"/>
      <c r="K20" s="91"/>
      <c r="L20" s="9"/>
      <c r="M20" s="9"/>
      <c r="N20" s="9"/>
      <c r="O20" s="9"/>
      <c r="P20" s="9"/>
      <c r="Q20" s="9"/>
      <c r="R20" s="9"/>
      <c r="S20" s="9"/>
      <c r="T20" s="9"/>
      <c r="U20" s="94"/>
      <c r="V20" s="9"/>
      <c r="W20" s="9"/>
      <c r="X20" s="9"/>
      <c r="Y20" s="9"/>
    </row>
    <row r="21" spans="1:25" customFormat="1">
      <c r="A21" s="101" t="s">
        <v>426</v>
      </c>
      <c r="B21" s="1"/>
      <c r="C21" s="50"/>
      <c r="D21" s="1"/>
      <c r="E21" s="1"/>
      <c r="F21" s="108"/>
      <c r="G21" s="9"/>
      <c r="H21" s="91"/>
      <c r="I21" s="91"/>
      <c r="J21" s="91"/>
      <c r="K21" s="91"/>
      <c r="L21" s="9"/>
      <c r="M21" s="9"/>
      <c r="N21" s="9"/>
      <c r="O21" s="9"/>
      <c r="P21" s="9"/>
      <c r="Q21" s="9"/>
      <c r="R21" s="9"/>
      <c r="S21" s="9"/>
      <c r="T21" s="9"/>
      <c r="U21" s="9"/>
      <c r="V21" s="9"/>
      <c r="W21" s="9"/>
      <c r="X21" s="9"/>
      <c r="Y21" s="9"/>
    </row>
    <row r="22" spans="1:25">
      <c r="A22" s="109" t="s">
        <v>153</v>
      </c>
      <c r="B22" s="31" t="s">
        <v>183</v>
      </c>
      <c r="C22" s="31" t="s">
        <v>154</v>
      </c>
      <c r="D22" s="31"/>
      <c r="E22" s="44">
        <v>7.9467985999999999E-7</v>
      </c>
      <c r="F22" s="105">
        <v>7.9455784516751994E-4</v>
      </c>
      <c r="G22" s="94"/>
      <c r="H22" s="91"/>
      <c r="I22" s="91"/>
      <c r="J22" s="91"/>
      <c r="K22" s="91"/>
      <c r="L22" s="91"/>
      <c r="M22" s="91"/>
      <c r="N22" s="91"/>
      <c r="O22" s="91"/>
      <c r="P22" s="91"/>
      <c r="Q22" s="91"/>
      <c r="R22" s="91"/>
      <c r="S22" s="91"/>
      <c r="T22" s="91"/>
      <c r="U22" s="91"/>
      <c r="V22" s="91"/>
      <c r="W22" s="91"/>
      <c r="X22" s="91"/>
      <c r="Y22" s="91"/>
    </row>
    <row r="23" spans="1:25">
      <c r="A23" s="109" t="s">
        <v>435</v>
      </c>
      <c r="B23" s="31" t="s">
        <v>436</v>
      </c>
      <c r="C23" s="31" t="s">
        <v>285</v>
      </c>
      <c r="D23" s="31"/>
      <c r="E23" s="43">
        <v>9.6638044999999995E-3</v>
      </c>
      <c r="F23" s="104">
        <v>10.899262187457541</v>
      </c>
      <c r="G23" s="94"/>
      <c r="H23" s="91"/>
      <c r="I23" s="91"/>
      <c r="J23" s="91"/>
      <c r="K23" s="91"/>
      <c r="L23" s="94"/>
      <c r="M23" s="9"/>
      <c r="N23" s="9"/>
      <c r="O23" s="9"/>
      <c r="P23" s="9"/>
      <c r="Q23" s="94"/>
      <c r="R23" s="9"/>
      <c r="S23" s="94"/>
      <c r="T23" s="9"/>
      <c r="U23" s="94"/>
      <c r="V23" s="9"/>
      <c r="W23" s="9"/>
      <c r="X23" s="94"/>
      <c r="Y23" s="9"/>
    </row>
    <row r="24" spans="1:25">
      <c r="A24" s="109" t="s">
        <v>446</v>
      </c>
      <c r="B24" s="31" t="s">
        <v>367</v>
      </c>
      <c r="C24" s="31" t="s">
        <v>368</v>
      </c>
      <c r="D24" s="31" t="s">
        <v>366</v>
      </c>
      <c r="E24" s="43">
        <v>7.7365710999999998E-3</v>
      </c>
      <c r="F24" s="104">
        <v>8.6342972664870192</v>
      </c>
      <c r="G24" s="94"/>
      <c r="H24" s="91"/>
      <c r="I24" s="91"/>
      <c r="J24" s="91"/>
      <c r="K24" s="91"/>
      <c r="L24" s="94"/>
      <c r="M24" s="9"/>
      <c r="N24" s="9"/>
      <c r="O24" s="9"/>
      <c r="P24" s="9"/>
      <c r="Q24" s="94"/>
      <c r="R24" s="9"/>
      <c r="S24" s="94"/>
      <c r="T24" s="9"/>
      <c r="U24" s="94"/>
      <c r="V24" s="9"/>
      <c r="W24" s="9"/>
      <c r="X24" s="94"/>
      <c r="Y24" s="9"/>
    </row>
    <row r="25" spans="1:25">
      <c r="A25" s="109" t="s">
        <v>148</v>
      </c>
      <c r="B25" s="31" t="s">
        <v>181</v>
      </c>
      <c r="C25" s="31" t="s">
        <v>378</v>
      </c>
      <c r="D25" s="31" t="s">
        <v>377</v>
      </c>
      <c r="E25" s="43">
        <v>9.9825318000000009E-4</v>
      </c>
      <c r="F25" s="104">
        <v>1.125228878291366</v>
      </c>
      <c r="G25" s="9"/>
      <c r="H25" s="91"/>
      <c r="I25" s="91"/>
      <c r="J25" s="91"/>
      <c r="K25" s="91"/>
      <c r="L25" s="9"/>
      <c r="M25" s="9"/>
      <c r="N25" s="9"/>
      <c r="O25" s="9"/>
      <c r="P25" s="9"/>
      <c r="Q25" s="9"/>
      <c r="R25" s="9"/>
      <c r="S25" s="94"/>
      <c r="T25" s="9"/>
      <c r="U25" s="94"/>
      <c r="V25" s="9"/>
      <c r="W25" s="9"/>
      <c r="X25" s="9"/>
      <c r="Y25" s="9"/>
    </row>
    <row r="26" spans="1:25">
      <c r="A26" s="109" t="s">
        <v>149</v>
      </c>
      <c r="B26" s="31" t="s">
        <v>181</v>
      </c>
      <c r="C26" s="31" t="s">
        <v>150</v>
      </c>
      <c r="D26" s="31"/>
      <c r="E26" s="43">
        <v>3.5215815000000001E-6</v>
      </c>
      <c r="F26" s="104">
        <v>5.3953789685957688E-3</v>
      </c>
      <c r="G26" s="94"/>
      <c r="H26" s="91"/>
      <c r="I26" s="91"/>
      <c r="J26" s="91"/>
      <c r="K26" s="91"/>
      <c r="L26" s="94"/>
      <c r="M26" s="9"/>
      <c r="N26" s="94"/>
      <c r="O26" s="9"/>
      <c r="P26" s="94"/>
      <c r="Q26" s="94"/>
      <c r="R26" s="9"/>
      <c r="S26" s="94"/>
      <c r="T26" s="94"/>
      <c r="U26" s="94"/>
      <c r="V26" s="94"/>
      <c r="W26" s="9"/>
      <c r="X26" s="94"/>
      <c r="Y26" s="9"/>
    </row>
    <row r="27" spans="1:25">
      <c r="A27" s="109" t="s">
        <v>126</v>
      </c>
      <c r="B27" s="31" t="s">
        <v>182</v>
      </c>
      <c r="C27" s="31" t="s">
        <v>473</v>
      </c>
      <c r="D27" s="31"/>
      <c r="E27" s="42">
        <v>1.0238207E-3</v>
      </c>
      <c r="F27" s="104">
        <v>1.0236634838875469</v>
      </c>
      <c r="G27" s="9"/>
      <c r="H27" s="91"/>
      <c r="I27" s="91"/>
      <c r="J27" s="91"/>
      <c r="K27" s="91"/>
      <c r="L27" s="9"/>
      <c r="M27" s="9"/>
      <c r="N27" s="9"/>
      <c r="O27" s="9"/>
      <c r="P27" s="9"/>
      <c r="Q27" s="9"/>
      <c r="R27" s="9"/>
      <c r="S27" s="94"/>
      <c r="T27" s="9"/>
      <c r="U27" s="94"/>
      <c r="V27" s="9"/>
      <c r="W27" s="94"/>
      <c r="X27" s="9"/>
      <c r="Y27" s="9"/>
    </row>
    <row r="28" spans="1:25">
      <c r="A28" s="110" t="s">
        <v>130</v>
      </c>
      <c r="B28" s="30" t="s">
        <v>182</v>
      </c>
      <c r="C28" s="31" t="s">
        <v>122</v>
      </c>
      <c r="D28" s="31" t="s">
        <v>145</v>
      </c>
      <c r="E28" s="42">
        <v>8.9278533E-3</v>
      </c>
      <c r="F28" s="104">
        <v>7.43302534117307</v>
      </c>
      <c r="G28" s="94"/>
      <c r="H28" s="91"/>
      <c r="I28" s="91"/>
      <c r="J28" s="91"/>
      <c r="K28" s="91"/>
      <c r="L28" s="94"/>
      <c r="M28" s="94"/>
      <c r="N28" s="94"/>
      <c r="O28" s="94"/>
      <c r="P28" s="94"/>
      <c r="Q28" s="94"/>
      <c r="R28" s="94"/>
      <c r="S28" s="94"/>
      <c r="T28" s="94"/>
      <c r="U28" s="94"/>
      <c r="V28" s="94"/>
      <c r="W28" s="94"/>
      <c r="X28" s="9"/>
      <c r="Y28" s="9"/>
    </row>
    <row r="29" spans="1:25">
      <c r="A29" s="109" t="s">
        <v>144</v>
      </c>
      <c r="B29" s="31" t="s">
        <v>182</v>
      </c>
      <c r="C29" s="31" t="s">
        <v>429</v>
      </c>
      <c r="D29" s="31" t="s">
        <v>428</v>
      </c>
      <c r="E29" s="42">
        <v>3.5864619999999999E-3</v>
      </c>
      <c r="F29" s="104">
        <v>4.9649035083482271</v>
      </c>
      <c r="G29" s="9"/>
      <c r="H29" s="91"/>
      <c r="I29" s="91"/>
      <c r="J29" s="91"/>
      <c r="K29" s="91"/>
      <c r="L29" s="9"/>
      <c r="M29" s="9"/>
      <c r="N29" s="9"/>
      <c r="O29" s="9"/>
      <c r="P29" s="9"/>
      <c r="Q29" s="94"/>
      <c r="R29" s="9"/>
      <c r="S29" s="94"/>
      <c r="T29" s="9"/>
      <c r="U29" s="94"/>
      <c r="V29" s="9"/>
      <c r="W29" s="9"/>
      <c r="X29" s="9"/>
      <c r="Y29" s="9"/>
    </row>
    <row r="30" spans="1:25">
      <c r="A30" s="109" t="s">
        <v>151</v>
      </c>
      <c r="B30" s="31" t="s">
        <v>182</v>
      </c>
      <c r="C30" s="31" t="s">
        <v>449</v>
      </c>
      <c r="D30" s="31" t="s">
        <v>450</v>
      </c>
      <c r="E30" s="42">
        <v>1.7632881999999999E-2</v>
      </c>
      <c r="F30" s="104">
        <v>33.131402725147069</v>
      </c>
      <c r="G30" s="9"/>
      <c r="H30" s="91"/>
      <c r="I30" s="91"/>
      <c r="J30" s="91"/>
      <c r="K30" s="91"/>
      <c r="L30" s="94"/>
      <c r="M30" s="9"/>
      <c r="N30" s="94"/>
      <c r="O30" s="94"/>
      <c r="P30" s="9"/>
      <c r="Q30" s="94"/>
      <c r="R30" s="94"/>
      <c r="S30" s="94"/>
      <c r="T30" s="94"/>
      <c r="U30" s="94"/>
      <c r="V30" s="94"/>
      <c r="W30" s="9"/>
      <c r="X30" s="9"/>
      <c r="Y30" s="9"/>
    </row>
    <row r="31" spans="1:25">
      <c r="A31" s="110" t="s">
        <v>123</v>
      </c>
      <c r="B31" s="30" t="s">
        <v>182</v>
      </c>
      <c r="C31" s="31" t="s">
        <v>124</v>
      </c>
      <c r="D31" s="31" t="s">
        <v>146</v>
      </c>
      <c r="E31" s="42">
        <v>5.6626404000000002E-3</v>
      </c>
      <c r="F31" s="104">
        <v>5.7089442468655891</v>
      </c>
      <c r="G31" s="9"/>
      <c r="H31" s="91"/>
      <c r="I31" s="91"/>
      <c r="J31" s="91"/>
      <c r="K31" s="91"/>
      <c r="L31" s="9"/>
      <c r="M31" s="9"/>
      <c r="N31" s="9"/>
      <c r="O31" s="94"/>
      <c r="P31" s="9"/>
      <c r="Q31" s="94"/>
      <c r="R31" s="9"/>
      <c r="S31" s="94"/>
      <c r="T31" s="9"/>
      <c r="U31" s="94"/>
      <c r="V31" s="94"/>
      <c r="W31" s="9"/>
      <c r="X31" s="9"/>
      <c r="Y31" s="9"/>
    </row>
    <row r="32" spans="1:25">
      <c r="A32" s="211" t="s">
        <v>139</v>
      </c>
      <c r="B32" s="212" t="s">
        <v>182</v>
      </c>
      <c r="C32" s="212" t="s">
        <v>315</v>
      </c>
      <c r="D32" s="212" t="s">
        <v>314</v>
      </c>
      <c r="E32" s="213">
        <v>6.3796634000000005E-2</v>
      </c>
      <c r="F32" s="214">
        <v>61.762056668655894</v>
      </c>
      <c r="G32" s="9"/>
      <c r="H32" s="91"/>
      <c r="I32" s="91"/>
      <c r="J32" s="91"/>
      <c r="K32" s="91"/>
      <c r="L32" s="9"/>
      <c r="M32" s="9"/>
      <c r="N32" s="9"/>
      <c r="O32" s="9"/>
      <c r="P32" s="9"/>
      <c r="Q32" s="9"/>
      <c r="R32" s="9"/>
      <c r="S32" s="9"/>
      <c r="T32" s="9"/>
      <c r="U32" s="94"/>
      <c r="V32" s="9"/>
      <c r="W32" s="9"/>
      <c r="X32" s="9"/>
      <c r="Y32" s="9"/>
    </row>
    <row r="33" spans="1:11" s="64" customFormat="1">
      <c r="A33" s="209" t="s">
        <v>680</v>
      </c>
      <c r="B33" s="210" t="s">
        <v>681</v>
      </c>
      <c r="C33" s="209" t="s">
        <v>676</v>
      </c>
      <c r="D33" s="209"/>
      <c r="E33" s="215">
        <v>212</v>
      </c>
      <c r="F33" s="215">
        <v>699821</v>
      </c>
      <c r="G33" s="9"/>
      <c r="H33" s="91"/>
    </row>
    <row r="34" spans="1:11" s="64" customFormat="1">
      <c r="A34" s="220" t="s">
        <v>686</v>
      </c>
      <c r="B34" s="216" t="s">
        <v>685</v>
      </c>
      <c r="C34" s="216" t="s">
        <v>683</v>
      </c>
      <c r="D34" s="209"/>
      <c r="E34" s="217">
        <v>0.47977083999999998</v>
      </c>
      <c r="F34" s="218">
        <v>477.60140576647302</v>
      </c>
      <c r="G34" s="9"/>
      <c r="H34" s="91"/>
    </row>
    <row r="35" spans="1:11" s="64" customFormat="1">
      <c r="A35" s="220" t="s">
        <v>687</v>
      </c>
      <c r="B35" s="216" t="s">
        <v>685</v>
      </c>
      <c r="C35" s="216" t="s">
        <v>684</v>
      </c>
      <c r="D35" s="209"/>
      <c r="E35" s="217">
        <v>7.9775067000000005E-2</v>
      </c>
      <c r="F35" s="219">
        <v>208.81704501643065</v>
      </c>
      <c r="G35" s="9"/>
      <c r="H35" s="91"/>
    </row>
    <row r="36" spans="1:11">
      <c r="A36" s="18"/>
      <c r="B36"/>
      <c r="C36" s="51"/>
      <c r="D36"/>
      <c r="E36"/>
      <c r="F36"/>
    </row>
    <row r="37" spans="1:11">
      <c r="A37" s="16" t="s">
        <v>203</v>
      </c>
      <c r="B37" s="17"/>
      <c r="C37" s="52"/>
      <c r="D37" s="17"/>
      <c r="E37" s="17"/>
      <c r="F37" s="17"/>
      <c r="G37" s="17"/>
      <c r="H37" s="17"/>
      <c r="I37" s="17"/>
      <c r="J37" s="17"/>
      <c r="K37" s="17"/>
    </row>
    <row r="38" spans="1:11">
      <c r="A38" s="7" t="s">
        <v>204</v>
      </c>
      <c r="B38" s="7" t="s">
        <v>205</v>
      </c>
      <c r="C38" s="39" t="s">
        <v>207</v>
      </c>
    </row>
    <row r="39" spans="1:11">
      <c r="B39" s="7" t="s">
        <v>206</v>
      </c>
      <c r="C39" s="39" t="s">
        <v>208</v>
      </c>
    </row>
    <row r="40" spans="1:11">
      <c r="C40" s="39" t="s">
        <v>209</v>
      </c>
    </row>
    <row r="42" spans="1:11">
      <c r="A42" s="16" t="s">
        <v>293</v>
      </c>
      <c r="B42" s="17"/>
      <c r="C42" s="52"/>
      <c r="D42" s="17"/>
      <c r="E42" s="17"/>
      <c r="F42" s="17"/>
      <c r="G42" s="17"/>
      <c r="H42" s="17"/>
      <c r="I42" s="17"/>
      <c r="J42" s="17"/>
      <c r="K42" s="17"/>
    </row>
    <row r="43" spans="1:11">
      <c r="A43" s="7" t="s">
        <v>320</v>
      </c>
      <c r="B43" s="7">
        <v>140000</v>
      </c>
      <c r="C43" s="39" t="s">
        <v>318</v>
      </c>
      <c r="D43" s="39" t="s">
        <v>319</v>
      </c>
    </row>
    <row r="44" spans="1:11">
      <c r="A44" s="7" t="s">
        <v>321</v>
      </c>
      <c r="B44" s="7">
        <v>125000000</v>
      </c>
      <c r="C44" s="39" t="s">
        <v>322</v>
      </c>
      <c r="D44" s="39" t="s">
        <v>423</v>
      </c>
    </row>
    <row r="45" spans="1:11">
      <c r="A45" s="7" t="s">
        <v>323</v>
      </c>
      <c r="B45" s="7">
        <f>B43*1000*1000/(B44*365)</f>
        <v>3.0684931506849313</v>
      </c>
      <c r="C45" s="39" t="s">
        <v>324</v>
      </c>
      <c r="D45" s="47" t="s">
        <v>325</v>
      </c>
    </row>
    <row r="46" spans="1:11">
      <c r="A46" s="39" t="s">
        <v>326</v>
      </c>
      <c r="D46" s="47"/>
    </row>
    <row r="47" spans="1:11">
      <c r="A47" s="39" t="s">
        <v>327</v>
      </c>
      <c r="D47" s="47"/>
    </row>
    <row r="48" spans="1:11">
      <c r="A48" s="39"/>
      <c r="D48" s="47"/>
    </row>
    <row r="49" spans="1:11">
      <c r="A49" s="39" t="s">
        <v>328</v>
      </c>
      <c r="D49" s="47"/>
    </row>
    <row r="51" spans="1:11">
      <c r="A51" s="16" t="s">
        <v>90</v>
      </c>
      <c r="B51" s="17"/>
      <c r="C51" s="52"/>
      <c r="D51" s="17"/>
      <c r="E51" s="17"/>
      <c r="F51" s="17"/>
      <c r="G51" s="17"/>
      <c r="H51" s="17"/>
      <c r="I51" s="17"/>
      <c r="J51" s="17"/>
      <c r="K51" s="17"/>
    </row>
    <row r="52" spans="1:11">
      <c r="A52" s="12" t="s">
        <v>75</v>
      </c>
      <c r="B52" s="12" t="s">
        <v>62</v>
      </c>
      <c r="C52" s="53"/>
      <c r="D52" s="12" t="s">
        <v>74</v>
      </c>
      <c r="E52" s="12"/>
      <c r="F52" s="12" t="s">
        <v>79</v>
      </c>
      <c r="G52" s="12"/>
      <c r="H52" s="12" t="s">
        <v>67</v>
      </c>
      <c r="I52" s="12"/>
      <c r="J52" s="12"/>
      <c r="K52" s="12"/>
    </row>
    <row r="53" spans="1:11" ht="156">
      <c r="A53" s="12"/>
      <c r="B53" s="12" t="s">
        <v>63</v>
      </c>
      <c r="C53" s="53" t="s">
        <v>64</v>
      </c>
      <c r="D53" s="12" t="s">
        <v>76</v>
      </c>
      <c r="E53" s="12" t="s">
        <v>77</v>
      </c>
      <c r="F53" s="12" t="s">
        <v>78</v>
      </c>
      <c r="G53" s="12" t="s">
        <v>77</v>
      </c>
      <c r="H53" s="12" t="s">
        <v>68</v>
      </c>
      <c r="I53" s="12" t="s">
        <v>69</v>
      </c>
      <c r="J53" s="12"/>
      <c r="K53" s="12" t="s">
        <v>71</v>
      </c>
    </row>
    <row r="54" spans="1:11">
      <c r="A54" s="12" t="s">
        <v>65</v>
      </c>
      <c r="B54" s="12"/>
      <c r="C54" s="53" t="s">
        <v>66</v>
      </c>
      <c r="D54" s="12"/>
      <c r="E54" s="12" t="s">
        <v>66</v>
      </c>
      <c r="F54" s="12"/>
      <c r="G54" s="12" t="s">
        <v>66</v>
      </c>
      <c r="H54" s="12"/>
      <c r="I54" s="12" t="s">
        <v>66</v>
      </c>
      <c r="J54" s="12"/>
      <c r="K54" s="12" t="s">
        <v>72</v>
      </c>
    </row>
    <row r="55" spans="1:11">
      <c r="A55" s="12"/>
      <c r="B55" s="12"/>
      <c r="C55" s="53"/>
      <c r="D55" s="12">
        <v>2010</v>
      </c>
      <c r="E55" s="13">
        <v>0.6</v>
      </c>
      <c r="F55" s="12">
        <v>2010</v>
      </c>
      <c r="G55" s="13">
        <v>0.06</v>
      </c>
      <c r="H55" s="12">
        <v>2010</v>
      </c>
      <c r="I55" s="13">
        <v>0.14000000000000001</v>
      </c>
      <c r="J55" s="12"/>
      <c r="K55" s="12"/>
    </row>
    <row r="56" spans="1:11">
      <c r="A56" s="12"/>
      <c r="B56" s="12"/>
      <c r="C56" s="53"/>
      <c r="D56" s="12">
        <f>D55+1</f>
        <v>2011</v>
      </c>
      <c r="E56" s="13">
        <f>E55*0.78</f>
        <v>0.46799999999999997</v>
      </c>
      <c r="F56" s="12">
        <f>F55+1</f>
        <v>2011</v>
      </c>
      <c r="G56" s="13">
        <f>G55*0.78</f>
        <v>4.6800000000000001E-2</v>
      </c>
      <c r="H56" s="12">
        <f>H55+1</f>
        <v>2011</v>
      </c>
      <c r="I56" s="13">
        <f>I55*0.9</f>
        <v>0.12600000000000003</v>
      </c>
      <c r="J56" s="12"/>
      <c r="K56" s="12"/>
    </row>
    <row r="57" spans="1:11">
      <c r="A57" s="12"/>
      <c r="B57" s="12">
        <v>2012</v>
      </c>
      <c r="C57" s="54">
        <v>0.15</v>
      </c>
      <c r="D57" s="12">
        <f t="shared" ref="D57:D65" si="0">D56+1</f>
        <v>2012</v>
      </c>
      <c r="E57" s="13">
        <f t="shared" ref="E57:E65" si="1">E56*0.78</f>
        <v>0.36503999999999998</v>
      </c>
      <c r="F57" s="12">
        <f t="shared" ref="F57:F65" si="2">F56+1</f>
        <v>2012</v>
      </c>
      <c r="G57" s="13">
        <f t="shared" ref="G57:G65" si="3">G56*0.78</f>
        <v>3.6504000000000002E-2</v>
      </c>
      <c r="H57" s="12">
        <f t="shared" ref="H57:H65" si="4">H56+1</f>
        <v>2012</v>
      </c>
      <c r="I57" s="13">
        <f t="shared" ref="I57:I65" si="5">I56*0.9</f>
        <v>0.11340000000000003</v>
      </c>
      <c r="J57" s="12"/>
      <c r="K57" s="12"/>
    </row>
    <row r="58" spans="1:11">
      <c r="A58" s="12"/>
      <c r="B58" s="12">
        <f>B57+1</f>
        <v>2013</v>
      </c>
      <c r="C58" s="54">
        <f>C57*0.9</f>
        <v>0.13500000000000001</v>
      </c>
      <c r="D58" s="12">
        <f t="shared" si="0"/>
        <v>2013</v>
      </c>
      <c r="E58" s="13">
        <f t="shared" si="1"/>
        <v>0.28473120000000002</v>
      </c>
      <c r="F58" s="12">
        <f t="shared" si="2"/>
        <v>2013</v>
      </c>
      <c r="G58" s="13">
        <f t="shared" si="3"/>
        <v>2.8473120000000001E-2</v>
      </c>
      <c r="H58" s="12">
        <f t="shared" si="4"/>
        <v>2013</v>
      </c>
      <c r="I58" s="13">
        <f t="shared" si="5"/>
        <v>0.10206000000000003</v>
      </c>
      <c r="J58" s="12"/>
      <c r="K58" s="12"/>
    </row>
    <row r="59" spans="1:11">
      <c r="A59" s="12"/>
      <c r="B59" s="12">
        <f t="shared" ref="B59:B63" si="6">B58+1</f>
        <v>2014</v>
      </c>
      <c r="C59" s="54">
        <f t="shared" ref="C59:C63" si="7">C58*0.9</f>
        <v>0.12150000000000001</v>
      </c>
      <c r="D59" s="12">
        <f t="shared" si="0"/>
        <v>2014</v>
      </c>
      <c r="E59" s="13">
        <f t="shared" si="1"/>
        <v>0.22209033600000003</v>
      </c>
      <c r="F59" s="12">
        <f t="shared" si="2"/>
        <v>2014</v>
      </c>
      <c r="G59" s="13">
        <f t="shared" si="3"/>
        <v>2.2209033600000001E-2</v>
      </c>
      <c r="H59" s="12">
        <f t="shared" si="4"/>
        <v>2014</v>
      </c>
      <c r="I59" s="13">
        <f t="shared" si="5"/>
        <v>9.1854000000000019E-2</v>
      </c>
      <c r="J59" s="12"/>
      <c r="K59" s="12"/>
    </row>
    <row r="60" spans="1:11">
      <c r="A60" s="12"/>
      <c r="B60" s="12">
        <f t="shared" si="6"/>
        <v>2015</v>
      </c>
      <c r="C60" s="54">
        <f t="shared" si="7"/>
        <v>0.10935000000000002</v>
      </c>
      <c r="D60" s="12">
        <f t="shared" si="0"/>
        <v>2015</v>
      </c>
      <c r="E60" s="13">
        <f t="shared" si="1"/>
        <v>0.17323046208000004</v>
      </c>
      <c r="F60" s="12">
        <f t="shared" si="2"/>
        <v>2015</v>
      </c>
      <c r="G60" s="13">
        <f t="shared" si="3"/>
        <v>1.7323046208000001E-2</v>
      </c>
      <c r="H60" s="12">
        <f t="shared" si="4"/>
        <v>2015</v>
      </c>
      <c r="I60" s="13">
        <f t="shared" si="5"/>
        <v>8.2668600000000023E-2</v>
      </c>
      <c r="J60" s="12"/>
      <c r="K60" s="12"/>
    </row>
    <row r="61" spans="1:11">
      <c r="A61" s="12"/>
      <c r="B61" s="12">
        <f t="shared" si="6"/>
        <v>2016</v>
      </c>
      <c r="C61" s="54">
        <f t="shared" si="7"/>
        <v>9.8415000000000016E-2</v>
      </c>
      <c r="D61" s="12">
        <f t="shared" si="0"/>
        <v>2016</v>
      </c>
      <c r="E61" s="13">
        <f t="shared" si="1"/>
        <v>0.13511976042240004</v>
      </c>
      <c r="F61" s="12">
        <f t="shared" si="2"/>
        <v>2016</v>
      </c>
      <c r="G61" s="13">
        <f t="shared" si="3"/>
        <v>1.3511976042240002E-2</v>
      </c>
      <c r="H61" s="12">
        <f t="shared" si="4"/>
        <v>2016</v>
      </c>
      <c r="I61" s="13">
        <f t="shared" si="5"/>
        <v>7.4401740000000022E-2</v>
      </c>
      <c r="J61" s="12"/>
      <c r="K61" s="12"/>
    </row>
    <row r="62" spans="1:11">
      <c r="A62" s="12"/>
      <c r="B62" s="12">
        <f t="shared" si="6"/>
        <v>2017</v>
      </c>
      <c r="C62" s="54">
        <f t="shared" si="7"/>
        <v>8.8573500000000013E-2</v>
      </c>
      <c r="D62" s="12">
        <f t="shared" si="0"/>
        <v>2017</v>
      </c>
      <c r="E62" s="13">
        <f t="shared" si="1"/>
        <v>0.10539341312947204</v>
      </c>
      <c r="F62" s="12">
        <f t="shared" si="2"/>
        <v>2017</v>
      </c>
      <c r="G62" s="13">
        <f t="shared" si="3"/>
        <v>1.0539341312947202E-2</v>
      </c>
      <c r="H62" s="12">
        <f t="shared" si="4"/>
        <v>2017</v>
      </c>
      <c r="I62" s="13">
        <f t="shared" si="5"/>
        <v>6.6961566000000028E-2</v>
      </c>
      <c r="J62" s="12">
        <v>2017</v>
      </c>
      <c r="K62" s="14">
        <v>0.43</v>
      </c>
    </row>
    <row r="63" spans="1:11">
      <c r="A63" s="12"/>
      <c r="B63" s="12">
        <f t="shared" si="6"/>
        <v>2018</v>
      </c>
      <c r="C63" s="54">
        <f t="shared" si="7"/>
        <v>7.9716150000000013E-2</v>
      </c>
      <c r="D63" s="12">
        <f t="shared" si="0"/>
        <v>2018</v>
      </c>
      <c r="E63" s="13">
        <f t="shared" si="1"/>
        <v>8.2206862240988193E-2</v>
      </c>
      <c r="F63" s="12">
        <f t="shared" si="2"/>
        <v>2018</v>
      </c>
      <c r="G63" s="13">
        <f t="shared" si="3"/>
        <v>8.2206862240988172E-3</v>
      </c>
      <c r="H63" s="12">
        <f t="shared" si="4"/>
        <v>2018</v>
      </c>
      <c r="I63" s="13">
        <f t="shared" si="5"/>
        <v>6.0265409400000025E-2</v>
      </c>
      <c r="J63" s="12"/>
      <c r="K63" s="12"/>
    </row>
    <row r="64" spans="1:11">
      <c r="A64" s="12"/>
      <c r="B64" s="12">
        <f t="shared" ref="B64:B65" si="8">B63+1</f>
        <v>2019</v>
      </c>
      <c r="C64" s="54">
        <f t="shared" ref="C64:C65" si="9">C63*0.9</f>
        <v>7.1744535000000012E-2</v>
      </c>
      <c r="D64" s="12">
        <f t="shared" si="0"/>
        <v>2019</v>
      </c>
      <c r="E64" s="13">
        <f t="shared" si="1"/>
        <v>6.4121352547970786E-2</v>
      </c>
      <c r="F64" s="12">
        <f t="shared" si="2"/>
        <v>2019</v>
      </c>
      <c r="G64" s="13">
        <f t="shared" si="3"/>
        <v>6.4121352547970778E-3</v>
      </c>
      <c r="H64" s="12">
        <f t="shared" si="4"/>
        <v>2019</v>
      </c>
      <c r="I64" s="13">
        <f t="shared" si="5"/>
        <v>5.4238868460000027E-2</v>
      </c>
      <c r="J64" s="12"/>
      <c r="K64" s="12"/>
    </row>
    <row r="65" spans="1:11">
      <c r="A65" s="12"/>
      <c r="B65" s="14">
        <f t="shared" si="8"/>
        <v>2020</v>
      </c>
      <c r="C65" s="55">
        <f t="shared" si="9"/>
        <v>6.4570081500000015E-2</v>
      </c>
      <c r="D65" s="14">
        <f t="shared" si="0"/>
        <v>2020</v>
      </c>
      <c r="E65" s="15">
        <f t="shared" si="1"/>
        <v>5.0014654987417216E-2</v>
      </c>
      <c r="F65" s="14">
        <f t="shared" si="2"/>
        <v>2020</v>
      </c>
      <c r="G65" s="15">
        <f t="shared" si="3"/>
        <v>5.0014654987417207E-3</v>
      </c>
      <c r="H65" s="14">
        <f t="shared" si="4"/>
        <v>2020</v>
      </c>
      <c r="I65" s="15">
        <f t="shared" si="5"/>
        <v>4.8814981614000025E-2</v>
      </c>
      <c r="J65" s="12">
        <v>2020</v>
      </c>
      <c r="K65" s="12">
        <v>0.31</v>
      </c>
    </row>
    <row r="66" spans="1:11">
      <c r="A66" s="12"/>
      <c r="B66" s="12"/>
      <c r="C66" s="53"/>
      <c r="D66" s="12"/>
      <c r="E66" s="12"/>
      <c r="F66" s="12"/>
      <c r="G66" s="12"/>
      <c r="H66" s="12"/>
      <c r="I66" s="12"/>
      <c r="J66" s="12"/>
      <c r="K66" s="12"/>
    </row>
    <row r="67" spans="1:11" ht="108">
      <c r="A67" s="12"/>
      <c r="B67" s="12" t="s">
        <v>70</v>
      </c>
      <c r="C67" s="53"/>
      <c r="D67" s="12"/>
      <c r="E67" s="12"/>
      <c r="F67" s="12"/>
      <c r="G67" s="12"/>
      <c r="H67" s="12"/>
      <c r="I67" s="12"/>
      <c r="J67" s="12"/>
      <c r="K67" s="12"/>
    </row>
    <row r="69" spans="1:11">
      <c r="A69" s="38" t="s">
        <v>115</v>
      </c>
      <c r="B69" s="8"/>
      <c r="C69" s="37"/>
      <c r="D69" s="36" t="s">
        <v>116</v>
      </c>
      <c r="E69" s="37" t="s">
        <v>280</v>
      </c>
      <c r="F69" s="8"/>
      <c r="G69" s="8"/>
      <c r="H69" s="8"/>
      <c r="I69" s="8"/>
      <c r="J69" s="8"/>
      <c r="K69" s="8"/>
    </row>
    <row r="70" spans="1:11">
      <c r="A70" s="35"/>
      <c r="B70" s="8"/>
      <c r="C70" s="37"/>
      <c r="D70" s="36" t="s">
        <v>117</v>
      </c>
      <c r="E70" s="37" t="s">
        <v>118</v>
      </c>
      <c r="F70" s="8"/>
      <c r="G70" s="8"/>
      <c r="H70" s="8"/>
      <c r="I70" s="8"/>
      <c r="J70" s="8"/>
      <c r="K70" s="8"/>
    </row>
    <row r="72" spans="1:11">
      <c r="A72" s="16" t="s">
        <v>107</v>
      </c>
      <c r="B72" s="17"/>
      <c r="C72" s="52"/>
      <c r="D72" s="17"/>
      <c r="E72" s="17"/>
      <c r="F72" s="17"/>
      <c r="G72" s="17"/>
      <c r="H72" s="17"/>
      <c r="I72" s="17"/>
      <c r="J72" s="17"/>
      <c r="K72" s="17"/>
    </row>
    <row r="73" spans="1:11">
      <c r="A73"/>
      <c r="B73"/>
      <c r="C73" s="51"/>
      <c r="D73"/>
      <c r="E73"/>
      <c r="F73"/>
      <c r="G73"/>
      <c r="H73"/>
      <c r="I73"/>
    </row>
    <row r="74" spans="1:11">
      <c r="A74" s="22" t="s">
        <v>92</v>
      </c>
      <c r="B74" s="23" t="s">
        <v>93</v>
      </c>
      <c r="C74" s="23" t="s">
        <v>94</v>
      </c>
      <c r="D74" s="23" t="s">
        <v>95</v>
      </c>
      <c r="E74" s="23" t="s">
        <v>96</v>
      </c>
      <c r="F74" s="24" t="s">
        <v>97</v>
      </c>
      <c r="G74" s="32" t="s">
        <v>141</v>
      </c>
      <c r="H74" s="33" t="s">
        <v>142</v>
      </c>
    </row>
    <row r="75" spans="1:11">
      <c r="A75" s="19" t="s">
        <v>98</v>
      </c>
      <c r="B75" s="20" t="s">
        <v>99</v>
      </c>
      <c r="C75" s="20" t="s">
        <v>74</v>
      </c>
      <c r="D75" s="20">
        <v>480</v>
      </c>
      <c r="E75" s="20">
        <v>40.17</v>
      </c>
      <c r="F75" s="21" t="s">
        <v>100</v>
      </c>
      <c r="H75" s="34">
        <f>E75*6</f>
        <v>241.02</v>
      </c>
    </row>
    <row r="76" spans="1:11">
      <c r="A76" s="19" t="s">
        <v>98</v>
      </c>
      <c r="B76" s="20" t="s">
        <v>99</v>
      </c>
      <c r="C76" s="20" t="s">
        <v>101</v>
      </c>
      <c r="D76" s="20">
        <v>480</v>
      </c>
      <c r="E76" s="20">
        <v>41.52</v>
      </c>
      <c r="F76" s="21" t="s">
        <v>102</v>
      </c>
      <c r="H76" s="34">
        <f t="shared" ref="H76:H78" si="10">E76*6</f>
        <v>249.12</v>
      </c>
    </row>
    <row r="77" spans="1:11">
      <c r="A77" s="19" t="s">
        <v>98</v>
      </c>
      <c r="B77" s="20" t="s">
        <v>99</v>
      </c>
      <c r="C77" s="20" t="s">
        <v>101</v>
      </c>
      <c r="D77" s="20">
        <v>1080</v>
      </c>
      <c r="E77" s="20">
        <v>121.8</v>
      </c>
      <c r="F77" s="21" t="s">
        <v>103</v>
      </c>
      <c r="H77" s="34">
        <f t="shared" si="10"/>
        <v>730.8</v>
      </c>
    </row>
    <row r="78" spans="1:11">
      <c r="A78" s="19" t="s">
        <v>104</v>
      </c>
      <c r="B78" s="20" t="s">
        <v>99</v>
      </c>
      <c r="C78" s="20" t="s">
        <v>101</v>
      </c>
      <c r="D78" s="20" t="s">
        <v>105</v>
      </c>
      <c r="E78" s="20">
        <v>164.89</v>
      </c>
      <c r="F78" s="21" t="s">
        <v>106</v>
      </c>
      <c r="H78" s="34">
        <f t="shared" si="10"/>
        <v>989.33999999999992</v>
      </c>
    </row>
    <row r="79" spans="1:11">
      <c r="A79" s="25"/>
      <c r="B79" s="26"/>
      <c r="C79" s="26"/>
      <c r="D79" s="26"/>
      <c r="E79" s="26"/>
      <c r="F79" s="27"/>
    </row>
    <row r="80" spans="1:11">
      <c r="A80" s="11" t="s">
        <v>597</v>
      </c>
      <c r="B80" s="17"/>
      <c r="C80" s="52"/>
      <c r="D80" s="17"/>
      <c r="E80" s="17"/>
      <c r="F80" s="17"/>
      <c r="G80" s="17"/>
      <c r="H80" s="17"/>
      <c r="I80" s="17"/>
      <c r="J80" s="17"/>
      <c r="K80" s="17"/>
    </row>
    <row r="81" spans="1:11">
      <c r="A81" t="s">
        <v>598</v>
      </c>
    </row>
    <row r="82" spans="1:11">
      <c r="A82" t="s">
        <v>599</v>
      </c>
    </row>
    <row r="83" spans="1:11">
      <c r="A83" s="10" t="s">
        <v>600</v>
      </c>
    </row>
    <row r="84" spans="1:11">
      <c r="A84" s="18"/>
    </row>
    <row r="85" spans="1:11">
      <c r="A85" s="11" t="s">
        <v>89</v>
      </c>
      <c r="B85" s="17"/>
      <c r="C85" s="52"/>
      <c r="D85" s="17"/>
      <c r="E85" s="17"/>
      <c r="F85" s="17"/>
      <c r="G85" s="17"/>
      <c r="H85" s="17"/>
      <c r="I85" s="17"/>
      <c r="J85" s="17"/>
      <c r="K85" s="17"/>
    </row>
    <row r="86" spans="1:11">
      <c r="A86" s="10" t="s">
        <v>80</v>
      </c>
    </row>
    <row r="87" spans="1:11">
      <c r="A87" s="10" t="s">
        <v>81</v>
      </c>
    </row>
    <row r="88" spans="1:11">
      <c r="A88" s="10" t="s">
        <v>82</v>
      </c>
    </row>
    <row r="89" spans="1:11">
      <c r="A89" s="9" t="s">
        <v>193</v>
      </c>
    </row>
    <row r="90" spans="1:11">
      <c r="A90" s="18" t="s">
        <v>157</v>
      </c>
    </row>
    <row r="92" spans="1:11">
      <c r="A92" s="11" t="s">
        <v>616</v>
      </c>
      <c r="B92" s="17"/>
      <c r="C92" s="52"/>
      <c r="D92" s="17"/>
      <c r="E92" s="17"/>
      <c r="F92" s="17"/>
      <c r="G92" s="17"/>
      <c r="H92" s="17"/>
      <c r="I92" s="17"/>
      <c r="J92" s="17"/>
      <c r="K92" s="17"/>
    </row>
    <row r="93" spans="1:11">
      <c r="A93" t="s">
        <v>615</v>
      </c>
    </row>
    <row r="94" spans="1:11">
      <c r="A94" s="10"/>
    </row>
    <row r="95" spans="1:11">
      <c r="A95" s="296" t="s">
        <v>91</v>
      </c>
      <c r="B95" s="296"/>
      <c r="C95" s="296"/>
      <c r="D95" s="296"/>
      <c r="E95" s="296"/>
      <c r="F95" s="296"/>
      <c r="G95" s="296"/>
      <c r="H95" s="296"/>
      <c r="I95" s="296"/>
      <c r="J95" s="296"/>
      <c r="K95" s="296"/>
    </row>
    <row r="96" spans="1:11">
      <c r="A96" s="18"/>
      <c r="B96"/>
      <c r="C96" s="51"/>
      <c r="D96"/>
      <c r="E96"/>
      <c r="F96"/>
    </row>
    <row r="97" spans="1:1">
      <c r="A97"/>
    </row>
    <row r="98" spans="1:1">
      <c r="A98"/>
    </row>
  </sheetData>
  <sortState ref="A5:Y20">
    <sortCondition ref="A5:A20"/>
  </sortState>
  <mergeCells count="1">
    <mergeCell ref="A95:K9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A25" sqref="A25"/>
    </sheetView>
  </sheetViews>
  <sheetFormatPr baseColWidth="10" defaultRowHeight="14.5"/>
  <cols>
    <col min="1" max="1" width="44" customWidth="1"/>
    <col min="2" max="5" width="22" customWidth="1"/>
    <col min="6" max="6" width="29" customWidth="1"/>
  </cols>
  <sheetData>
    <row r="1" spans="1:10" s="7" customFormat="1">
      <c r="A1" s="16" t="s">
        <v>603</v>
      </c>
      <c r="B1" s="17"/>
      <c r="C1" s="52"/>
      <c r="D1" s="17"/>
      <c r="E1" s="17"/>
      <c r="F1" s="17"/>
      <c r="G1" s="17"/>
      <c r="H1" s="17"/>
      <c r="I1" s="17"/>
      <c r="J1" s="17"/>
    </row>
    <row r="2" spans="1:10" s="7" customFormat="1">
      <c r="A2"/>
      <c r="C2" s="39"/>
    </row>
    <row r="3" spans="1:10" s="7" customFormat="1">
      <c r="A3" s="39" t="s">
        <v>619</v>
      </c>
      <c r="C3" s="39"/>
    </row>
    <row r="4" spans="1:10" ht="15" thickBot="1">
      <c r="C4" s="194">
        <f>B7/C7</f>
        <v>23.333333333333332</v>
      </c>
      <c r="E4" s="194">
        <f>D7/E7</f>
        <v>23.333333333333332</v>
      </c>
    </row>
    <row r="5" spans="1:10">
      <c r="B5" s="300" t="s">
        <v>60</v>
      </c>
      <c r="C5" s="301"/>
      <c r="D5" s="301"/>
      <c r="E5" s="302"/>
      <c r="F5" s="195"/>
      <c r="G5" t="s">
        <v>655</v>
      </c>
      <c r="H5" t="s">
        <v>652</v>
      </c>
      <c r="I5" t="s">
        <v>653</v>
      </c>
      <c r="J5" t="s">
        <v>654</v>
      </c>
    </row>
    <row r="6" spans="1:10" ht="32.5">
      <c r="B6" s="183" t="s">
        <v>626</v>
      </c>
      <c r="C6" s="184" t="s">
        <v>622</v>
      </c>
      <c r="D6" s="165" t="s">
        <v>623</v>
      </c>
      <c r="E6" s="181" t="s">
        <v>627</v>
      </c>
      <c r="F6" s="195" t="s">
        <v>656</v>
      </c>
      <c r="G6" s="194">
        <f>C10</f>
        <v>7800000</v>
      </c>
      <c r="H6" s="194">
        <f>E10</f>
        <v>21369.863013698628</v>
      </c>
      <c r="I6" s="194">
        <f>H6/17</f>
        <v>1257.0507655116839</v>
      </c>
      <c r="J6" s="194">
        <f>I6/60</f>
        <v>20.950846091861401</v>
      </c>
    </row>
    <row r="7" spans="1:10">
      <c r="B7" s="183">
        <v>14000</v>
      </c>
      <c r="C7" s="184">
        <v>600</v>
      </c>
      <c r="D7" s="167">
        <f>B7/365</f>
        <v>38.356164383561641</v>
      </c>
      <c r="E7" s="182">
        <f>C7/365</f>
        <v>1.6438356164383561</v>
      </c>
      <c r="F7" s="195" t="s">
        <v>640</v>
      </c>
      <c r="I7">
        <f>C15/2</f>
        <v>119</v>
      </c>
    </row>
    <row r="8" spans="1:10">
      <c r="B8" s="297" t="s">
        <v>611</v>
      </c>
      <c r="C8" s="298"/>
      <c r="D8" s="298"/>
      <c r="E8" s="299"/>
      <c r="F8" s="195"/>
    </row>
    <row r="9" spans="1:10" ht="21.5">
      <c r="B9" s="164" t="s">
        <v>625</v>
      </c>
      <c r="C9" s="165" t="s">
        <v>620</v>
      </c>
      <c r="D9" s="165" t="s">
        <v>624</v>
      </c>
      <c r="E9" s="166" t="s">
        <v>621</v>
      </c>
      <c r="F9" s="195"/>
    </row>
    <row r="10" spans="1:10" ht="15" thickBot="1">
      <c r="B10" s="169">
        <v>23400000</v>
      </c>
      <c r="C10" s="170">
        <v>7800000</v>
      </c>
      <c r="D10" s="170">
        <f>B10/365</f>
        <v>64109.589041095889</v>
      </c>
      <c r="E10" s="171">
        <f>C10/365</f>
        <v>21369.863013698628</v>
      </c>
    </row>
    <row r="11" spans="1:10">
      <c r="C11">
        <f>B10/C10</f>
        <v>3</v>
      </c>
      <c r="E11">
        <f>D10/E10</f>
        <v>3</v>
      </c>
    </row>
    <row r="12" spans="1:10">
      <c r="A12" s="176" t="s">
        <v>635</v>
      </c>
      <c r="B12" s="173"/>
      <c r="C12" s="173"/>
      <c r="D12" s="173"/>
      <c r="E12" s="173"/>
      <c r="F12" s="173"/>
    </row>
    <row r="13" spans="1:10">
      <c r="A13" s="173" t="s">
        <v>628</v>
      </c>
      <c r="B13" s="173"/>
      <c r="C13" s="173"/>
      <c r="D13" s="173"/>
      <c r="E13" s="173"/>
      <c r="F13" s="173"/>
    </row>
    <row r="14" spans="1:10">
      <c r="A14" s="173"/>
      <c r="B14" s="174" t="s">
        <v>60</v>
      </c>
      <c r="C14" s="174" t="s">
        <v>611</v>
      </c>
      <c r="D14" s="173"/>
      <c r="E14" s="173"/>
      <c r="F14" s="173"/>
    </row>
    <row r="15" spans="1:10">
      <c r="A15" s="173" t="s">
        <v>629</v>
      </c>
      <c r="B15" s="174">
        <f>2*0.113</f>
        <v>0.22600000000000001</v>
      </c>
      <c r="C15" s="174">
        <f>2*119</f>
        <v>238</v>
      </c>
      <c r="D15" s="173" t="s">
        <v>636</v>
      </c>
      <c r="E15" s="173"/>
      <c r="F15" s="173"/>
    </row>
    <row r="16" spans="1:10">
      <c r="A16" s="173" t="s">
        <v>637</v>
      </c>
      <c r="B16" s="175">
        <f>4*D7</f>
        <v>153.42465753424656</v>
      </c>
      <c r="C16" s="175">
        <f>4*D10</f>
        <v>256438.35616438356</v>
      </c>
      <c r="D16" s="173" t="s">
        <v>630</v>
      </c>
      <c r="E16" s="173"/>
      <c r="F16" s="173"/>
    </row>
    <row r="17" spans="1:6">
      <c r="A17" s="173" t="s">
        <v>638</v>
      </c>
      <c r="B17" s="175">
        <f>4*E7</f>
        <v>6.5753424657534243</v>
      </c>
      <c r="C17" s="175">
        <f>4*E10</f>
        <v>85479.452054794514</v>
      </c>
      <c r="D17" s="173" t="s">
        <v>630</v>
      </c>
      <c r="E17" s="173"/>
      <c r="F17" s="173"/>
    </row>
    <row r="18" spans="1:6">
      <c r="A18" s="177" t="s">
        <v>631</v>
      </c>
      <c r="B18" s="178">
        <f>B$15/B16</f>
        <v>1.4730357142857145E-3</v>
      </c>
      <c r="C18" s="178">
        <f>C$15/C16</f>
        <v>9.2809829059829058E-4</v>
      </c>
      <c r="D18" s="179" t="s">
        <v>632</v>
      </c>
      <c r="E18" s="173"/>
      <c r="F18" s="173"/>
    </row>
    <row r="19" spans="1:6">
      <c r="A19" s="177" t="s">
        <v>631</v>
      </c>
      <c r="B19" s="180">
        <f>B$15/B17</f>
        <v>3.4370833333333337E-2</v>
      </c>
      <c r="C19" s="178">
        <f>C$15/C17</f>
        <v>2.7842948717948721E-3</v>
      </c>
      <c r="D19" s="179" t="s">
        <v>633</v>
      </c>
      <c r="E19" s="173"/>
      <c r="F19" s="173"/>
    </row>
    <row r="20" spans="1:6">
      <c r="A20" s="173"/>
      <c r="B20" s="175"/>
      <c r="C20" s="175"/>
      <c r="D20" s="173"/>
      <c r="E20" s="173"/>
      <c r="F20" s="173"/>
    </row>
    <row r="21" spans="1:6">
      <c r="A21" s="173" t="s">
        <v>634</v>
      </c>
      <c r="B21" s="175"/>
      <c r="C21" s="175"/>
      <c r="D21" s="173"/>
      <c r="E21" s="173"/>
      <c r="F21" s="173"/>
    </row>
    <row r="22" spans="1:6" s="172" customFormat="1" ht="32" customHeight="1">
      <c r="A22" s="303" t="s">
        <v>639</v>
      </c>
      <c r="B22" s="303"/>
      <c r="C22" s="303"/>
      <c r="D22" s="303"/>
      <c r="E22" s="303"/>
      <c r="F22" s="303"/>
    </row>
    <row r="24" spans="1:6">
      <c r="A24" s="163" t="s">
        <v>89</v>
      </c>
    </row>
    <row r="25" spans="1:6">
      <c r="A25" s="168" t="s">
        <v>617</v>
      </c>
    </row>
    <row r="26" spans="1:6">
      <c r="A26" s="168" t="s">
        <v>618</v>
      </c>
    </row>
    <row r="28" spans="1:6">
      <c r="A28" s="163" t="s">
        <v>604</v>
      </c>
    </row>
    <row r="29" spans="1:6">
      <c r="A29" t="s">
        <v>605</v>
      </c>
    </row>
    <row r="30" spans="1:6">
      <c r="A30" t="s">
        <v>606</v>
      </c>
    </row>
    <row r="32" spans="1:6">
      <c r="A32" s="163" t="s">
        <v>607</v>
      </c>
    </row>
    <row r="33" spans="1:1">
      <c r="A33" t="s">
        <v>608</v>
      </c>
    </row>
    <row r="34" spans="1:1">
      <c r="A34" t="s">
        <v>609</v>
      </c>
    </row>
    <row r="35" spans="1:1">
      <c r="A35" t="s">
        <v>610</v>
      </c>
    </row>
  </sheetData>
  <mergeCells count="3">
    <mergeCell ref="B8:E8"/>
    <mergeCell ref="B5:E5"/>
    <mergeCell ref="A22:F22"/>
  </mergeCells>
  <hyperlinks>
    <hyperlink ref="A25" r:id="rId1" display="https://www.bafu.admin.ch/bafu/fr/home/themes/economie-consommation/publications-etudes/publications/empreintes-environnementales-de-la-suisse.html"/>
    <hyperlink ref="A26" r:id="rId2" display="https://www.bfs.admin.ch/bfs/fr/home/statistiques/developpement-durable/autres-indicateurs-developpement-durable/empreinte-ecologique.html"/>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A1405D081049D4CB0297D8A4A6D278F" ma:contentTypeVersion="11" ma:contentTypeDescription="Ein neues Dokument erstellen." ma:contentTypeScope="" ma:versionID="6c726e65c40ba645d25564e1723e4426">
  <xsd:schema xmlns:xsd="http://www.w3.org/2001/XMLSchema" xmlns:xs="http://www.w3.org/2001/XMLSchema" xmlns:p="http://schemas.microsoft.com/office/2006/metadata/properties" xmlns:ns3="014e22de-cb5b-4929-8dc2-e58037ecad44" xmlns:ns4="ecb3b9e9-1eab-40cf-9f53-7744611379ea" targetNamespace="http://schemas.microsoft.com/office/2006/metadata/properties" ma:root="true" ma:fieldsID="d444745ded6429a19df6ba3ac664b93b" ns3:_="" ns4:_="">
    <xsd:import namespace="014e22de-cb5b-4929-8dc2-e58037ecad44"/>
    <xsd:import namespace="ecb3b9e9-1eab-40cf-9f53-7744611379e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e22de-cb5b-4929-8dc2-e58037ecad4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b3b9e9-1eab-40cf-9f53-7744611379ea" elementFormDefault="qualified">
    <xsd:import namespace="http://schemas.microsoft.com/office/2006/documentManagement/types"/>
    <xsd:import namespace="http://schemas.microsoft.com/office/infopath/2007/PartnerControls"/>
    <xsd:element name="SharedWithUsers" ma:index="1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description="" ma:internalName="SharedWithDetails" ma:readOnly="true">
      <xsd:simpleType>
        <xsd:restriction base="dms:Note">
          <xsd:maxLength value="255"/>
        </xsd:restriction>
      </xsd:simpleType>
    </xsd:element>
    <xsd:element name="SharingHintHash" ma:index="12" nillable="true" ma:displayName="Freigabehinweis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B7F7DA-D3DB-42CD-B16F-EE1567339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e22de-cb5b-4929-8dc2-e58037ecad44"/>
    <ds:schemaRef ds:uri="ecb3b9e9-1eab-40cf-9f53-774461137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195731-82B4-44B4-A1F6-B23721E7532E}">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ecb3b9e9-1eab-40cf-9f53-7744611379ea"/>
    <ds:schemaRef ds:uri="014e22de-cb5b-4929-8dc2-e58037ecad44"/>
    <ds:schemaRef ds:uri="http://www.w3.org/XML/1998/namespace"/>
    <ds:schemaRef ds:uri="http://purl.org/dc/dcmitype/"/>
  </ds:schemaRefs>
</ds:datastoreItem>
</file>

<file path=customXml/itemProps3.xml><?xml version="1.0" encoding="utf-8"?>
<ds:datastoreItem xmlns:ds="http://schemas.openxmlformats.org/officeDocument/2006/customXml" ds:itemID="{4402462D-9D80-4B45-96BB-B33C6A66E6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Introduction</vt:lpstr>
      <vt:lpstr>Liste et comparaison écogestes</vt:lpstr>
      <vt:lpstr>Actions robustes - V. PUBLIABLE</vt:lpstr>
      <vt:lpstr>Actions non comparables - V. PU</vt:lpstr>
      <vt:lpstr>Actions robustes</vt:lpstr>
      <vt:lpstr>Actions non comparables</vt:lpstr>
      <vt:lpstr>Sous-datasets et Notes</vt:lpstr>
      <vt:lpstr>Limites pour etre durable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Von Wyss, Bastien (RTS)</dc:creator>
  <cp:keywords/>
  <dc:description/>
  <cp:lastModifiedBy>Gäggeler Kaspar BAFU</cp:lastModifiedBy>
  <cp:revision/>
  <dcterms:created xsi:type="dcterms:W3CDTF">2019-10-25T12:44:18Z</dcterms:created>
  <dcterms:modified xsi:type="dcterms:W3CDTF">2020-04-30T23:55:50Z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0x010100EA1405D081049D4CB0297D8A4A6D278F</vt:lpwstr>
  </property>
</Properties>
</file>