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db.intra.admin.ch\Userhome$\All\config\Desktop\"/>
    </mc:Choice>
  </mc:AlternateContent>
  <bookViews>
    <workbookView xWindow="0" yWindow="0" windowWidth="11540" windowHeight="8290" activeTab="1"/>
  </bookViews>
  <sheets>
    <sheet name="Introduction" sheetId="4" r:id="rId1"/>
    <sheet name="Liste et comparaison écogestes" sheetId="21" r:id="rId2"/>
    <sheet name="Actions robustes - V. PUBLIABLE" sheetId="18" r:id="rId3"/>
    <sheet name="Actions non comparables - V. PU" sheetId="19" r:id="rId4"/>
    <sheet name="Actions robustes" sheetId="1" r:id="rId5"/>
    <sheet name="Actions non comparables" sheetId="9" r:id="rId6"/>
    <sheet name="Sous-datasets et Notes" sheetId="2" r:id="rId7"/>
    <sheet name="Limites pour etre durable" sheetId="20" r:id="rId8"/>
  </sheets>
  <definedNames>
    <definedName name="_xlnm._FilterDatabase" localSheetId="3" hidden="1">'Actions non comparables - V. PU'!$A$2:$K$2</definedName>
    <definedName name="_xlnm._FilterDatabase" localSheetId="2" hidden="1">'Actions robustes - V. PUBLIABLE'!$A$2:$K$2</definedName>
    <definedName name="_xlnm._FilterDatabase" localSheetId="1" hidden="1">'Liste et comparaison écogestes'!$A$2:$T$2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8" i="21" l="1"/>
  <c r="G138" i="21"/>
  <c r="H139" i="21"/>
  <c r="G139" i="21"/>
  <c r="H137" i="21"/>
  <c r="G137" i="21"/>
  <c r="G140" i="21"/>
  <c r="H140" i="21"/>
  <c r="H122" i="21"/>
  <c r="G122" i="21"/>
  <c r="H145" i="21" l="1"/>
  <c r="H144" i="21"/>
  <c r="H124" i="21"/>
  <c r="G124" i="21"/>
  <c r="I117" i="21"/>
  <c r="H123" i="21"/>
  <c r="G123" i="21"/>
  <c r="H121" i="21"/>
  <c r="G121" i="21"/>
  <c r="H132" i="21"/>
  <c r="G132" i="21"/>
  <c r="H134" i="21"/>
  <c r="G134" i="21"/>
  <c r="H120" i="21"/>
  <c r="G120" i="21"/>
  <c r="K120" i="21"/>
  <c r="I131" i="21" l="1"/>
  <c r="I119" i="21"/>
  <c r="I124" i="21"/>
  <c r="I123" i="21"/>
  <c r="I134" i="21"/>
  <c r="I132" i="21"/>
  <c r="I121" i="21"/>
  <c r="I136" i="21"/>
  <c r="I129" i="21"/>
  <c r="I128" i="21"/>
  <c r="I133" i="21"/>
  <c r="I120" i="21"/>
  <c r="I122" i="21"/>
  <c r="I127" i="21"/>
  <c r="I126" i="21"/>
  <c r="I135" i="21"/>
  <c r="I125" i="21"/>
  <c r="G151" i="21"/>
  <c r="G169" i="21"/>
  <c r="G170" i="21"/>
  <c r="G164" i="21"/>
  <c r="G168" i="21"/>
  <c r="G154" i="21"/>
  <c r="F154" i="21"/>
  <c r="F168" i="21" l="1"/>
  <c r="H6" i="20" l="1"/>
  <c r="F167" i="21"/>
  <c r="G167" i="21"/>
  <c r="F166" i="21"/>
  <c r="G166" i="21"/>
  <c r="F165" i="21"/>
  <c r="F164" i="21"/>
  <c r="G161" i="21"/>
  <c r="F161" i="21"/>
  <c r="G160" i="21"/>
  <c r="F160" i="21"/>
  <c r="G159" i="21"/>
  <c r="F159" i="21"/>
  <c r="G155" i="21"/>
  <c r="F155" i="21"/>
  <c r="G158" i="21"/>
  <c r="F158" i="21"/>
  <c r="F157" i="21"/>
  <c r="G157" i="21"/>
  <c r="G156" i="21"/>
  <c r="F156" i="21"/>
  <c r="G153" i="21"/>
  <c r="F153" i="21"/>
  <c r="G152" i="21"/>
  <c r="F152" i="21"/>
  <c r="F151" i="21"/>
  <c r="G6" i="20" l="1"/>
  <c r="G165" i="21"/>
  <c r="R66" i="21"/>
  <c r="P66" i="21"/>
  <c r="T66" i="21" s="1"/>
  <c r="O66" i="21"/>
  <c r="S66" i="21" s="1"/>
  <c r="N66" i="21"/>
  <c r="M66" i="21"/>
  <c r="R65" i="21"/>
  <c r="P65" i="21"/>
  <c r="T65" i="21" s="1"/>
  <c r="O65" i="21"/>
  <c r="S65" i="21" s="1"/>
  <c r="N65" i="21"/>
  <c r="M65" i="21"/>
  <c r="R64" i="21"/>
  <c r="P64" i="21"/>
  <c r="T64" i="21" s="1"/>
  <c r="O64" i="21"/>
  <c r="S64" i="21" s="1"/>
  <c r="N64" i="21"/>
  <c r="M64" i="21"/>
  <c r="R33" i="21"/>
  <c r="P33" i="21"/>
  <c r="T33" i="21" s="1"/>
  <c r="O33" i="21"/>
  <c r="S33" i="21" s="1"/>
  <c r="N33" i="21"/>
  <c r="M33" i="21"/>
  <c r="R32" i="21"/>
  <c r="P32" i="21"/>
  <c r="T32" i="21" s="1"/>
  <c r="O32" i="21"/>
  <c r="S32" i="21" s="1"/>
  <c r="N32" i="21"/>
  <c r="M32" i="21"/>
  <c r="R31" i="21"/>
  <c r="P31" i="21"/>
  <c r="T31" i="21" s="1"/>
  <c r="O31" i="21"/>
  <c r="S31" i="21" s="1"/>
  <c r="N31" i="21"/>
  <c r="M31" i="21"/>
  <c r="R30" i="21"/>
  <c r="P30" i="21"/>
  <c r="T30" i="21" s="1"/>
  <c r="O30" i="21"/>
  <c r="S30" i="21" s="1"/>
  <c r="N30" i="21"/>
  <c r="M30" i="21"/>
  <c r="R12" i="21"/>
  <c r="P12" i="21"/>
  <c r="T12" i="21" s="1"/>
  <c r="O12" i="21"/>
  <c r="S12" i="21" s="1"/>
  <c r="N12" i="21"/>
  <c r="M12" i="21"/>
  <c r="R11" i="21"/>
  <c r="P11" i="21"/>
  <c r="T11" i="21" s="1"/>
  <c r="O11" i="21"/>
  <c r="S11" i="21" s="1"/>
  <c r="N11" i="21"/>
  <c r="M11" i="21"/>
  <c r="R10" i="21"/>
  <c r="P10" i="21"/>
  <c r="T10" i="21" s="1"/>
  <c r="O10" i="21"/>
  <c r="S10" i="21" s="1"/>
  <c r="N10" i="21"/>
  <c r="M10" i="21"/>
  <c r="R9" i="21"/>
  <c r="P9" i="21"/>
  <c r="T9" i="21" s="1"/>
  <c r="O9" i="21"/>
  <c r="S9" i="21" s="1"/>
  <c r="N9" i="21"/>
  <c r="M9" i="21"/>
  <c r="R40" i="21"/>
  <c r="P40" i="21"/>
  <c r="T40" i="21" s="1"/>
  <c r="O40" i="21"/>
  <c r="S40" i="21" s="1"/>
  <c r="N40" i="21"/>
  <c r="M40" i="21"/>
  <c r="R29" i="21"/>
  <c r="P29" i="21"/>
  <c r="T29" i="21" s="1"/>
  <c r="O29" i="21"/>
  <c r="S29" i="21" s="1"/>
  <c r="N29" i="21"/>
  <c r="M29" i="21"/>
  <c r="R39" i="21"/>
  <c r="P39" i="21"/>
  <c r="T39" i="21" s="1"/>
  <c r="O39" i="21"/>
  <c r="S39" i="21" s="1"/>
  <c r="N39" i="21"/>
  <c r="M39" i="21"/>
  <c r="R28" i="21"/>
  <c r="P28" i="21"/>
  <c r="T28" i="21" s="1"/>
  <c r="O28" i="21"/>
  <c r="S28" i="21" s="1"/>
  <c r="N28" i="21"/>
  <c r="M28" i="21"/>
  <c r="R63" i="21"/>
  <c r="P63" i="21"/>
  <c r="T63" i="21" s="1"/>
  <c r="O63" i="21"/>
  <c r="S63" i="21" s="1"/>
  <c r="N63" i="21"/>
  <c r="M63" i="21"/>
  <c r="R38" i="21"/>
  <c r="P38" i="21"/>
  <c r="T38" i="21" s="1"/>
  <c r="O38" i="21"/>
  <c r="S38" i="21" s="1"/>
  <c r="N38" i="21"/>
  <c r="M38" i="21"/>
  <c r="R55" i="21"/>
  <c r="P55" i="21"/>
  <c r="T55" i="21" s="1"/>
  <c r="O55" i="21"/>
  <c r="S55" i="21" s="1"/>
  <c r="N55" i="21"/>
  <c r="M55" i="21"/>
  <c r="R54" i="21"/>
  <c r="P54" i="21"/>
  <c r="T54" i="21" s="1"/>
  <c r="O54" i="21"/>
  <c r="S54" i="21" s="1"/>
  <c r="N54" i="21"/>
  <c r="M54" i="21"/>
  <c r="R37" i="21"/>
  <c r="P37" i="21"/>
  <c r="T37" i="21" s="1"/>
  <c r="O37" i="21"/>
  <c r="S37" i="21" s="1"/>
  <c r="N37" i="21"/>
  <c r="M37" i="21"/>
  <c r="R53" i="21"/>
  <c r="P53" i="21"/>
  <c r="T53" i="21" s="1"/>
  <c r="O53" i="21"/>
  <c r="S53" i="21" s="1"/>
  <c r="N53" i="21"/>
  <c r="M53" i="21"/>
  <c r="R52" i="21"/>
  <c r="P52" i="21"/>
  <c r="T52" i="21" s="1"/>
  <c r="O52" i="21"/>
  <c r="S52" i="21" s="1"/>
  <c r="N52" i="21"/>
  <c r="M52" i="21"/>
  <c r="R51" i="21"/>
  <c r="P51" i="21"/>
  <c r="T51" i="21" s="1"/>
  <c r="O51" i="21"/>
  <c r="S51" i="21" s="1"/>
  <c r="N51" i="21"/>
  <c r="M51" i="21"/>
  <c r="R18" i="21"/>
  <c r="P18" i="21"/>
  <c r="T18" i="21" s="1"/>
  <c r="O18" i="21"/>
  <c r="S18" i="21" s="1"/>
  <c r="N18" i="21"/>
  <c r="M18" i="21"/>
  <c r="R50" i="21"/>
  <c r="P50" i="21"/>
  <c r="T50" i="21" s="1"/>
  <c r="O50" i="21"/>
  <c r="S50" i="21" s="1"/>
  <c r="N50" i="21"/>
  <c r="M50" i="21"/>
  <c r="R17" i="21"/>
  <c r="P17" i="21"/>
  <c r="T17" i="21" s="1"/>
  <c r="O17" i="21"/>
  <c r="S17" i="21" s="1"/>
  <c r="N17" i="21"/>
  <c r="M17" i="21"/>
  <c r="R16" i="21"/>
  <c r="P16" i="21"/>
  <c r="T16" i="21" s="1"/>
  <c r="O16" i="21"/>
  <c r="S16" i="21" s="1"/>
  <c r="N16" i="21"/>
  <c r="M16" i="21"/>
  <c r="R36" i="21"/>
  <c r="P36" i="21"/>
  <c r="T36" i="21" s="1"/>
  <c r="O36" i="21"/>
  <c r="S36" i="21" s="1"/>
  <c r="N36" i="21"/>
  <c r="M36" i="21"/>
  <c r="R49" i="21"/>
  <c r="P49" i="21"/>
  <c r="T49" i="21" s="1"/>
  <c r="O49" i="21"/>
  <c r="S49" i="21" s="1"/>
  <c r="N49" i="21"/>
  <c r="M49" i="21"/>
  <c r="R27" i="21"/>
  <c r="P27" i="21"/>
  <c r="T27" i="21" s="1"/>
  <c r="O27" i="21"/>
  <c r="S27" i="21" s="1"/>
  <c r="N27" i="21"/>
  <c r="M27" i="21"/>
  <c r="R8" i="21"/>
  <c r="P8" i="21"/>
  <c r="T8" i="21" s="1"/>
  <c r="O8" i="21"/>
  <c r="S8" i="21" s="1"/>
  <c r="N8" i="21"/>
  <c r="M8" i="21"/>
  <c r="R48" i="21"/>
  <c r="P48" i="21"/>
  <c r="T48" i="21" s="1"/>
  <c r="O48" i="21"/>
  <c r="S48" i="21" s="1"/>
  <c r="N48" i="21"/>
  <c r="M48" i="21"/>
  <c r="R7" i="21"/>
  <c r="P7" i="21"/>
  <c r="T7" i="21" s="1"/>
  <c r="O7" i="21"/>
  <c r="S7" i="21" s="1"/>
  <c r="N7" i="21"/>
  <c r="M7" i="21"/>
  <c r="R47" i="21"/>
  <c r="P47" i="21"/>
  <c r="T47" i="21" s="1"/>
  <c r="O47" i="21"/>
  <c r="S47" i="21" s="1"/>
  <c r="N47" i="21"/>
  <c r="M47" i="21"/>
  <c r="R35" i="21"/>
  <c r="P35" i="21"/>
  <c r="T35" i="21" s="1"/>
  <c r="O35" i="21"/>
  <c r="S35" i="21" s="1"/>
  <c r="N35" i="21"/>
  <c r="M35" i="21"/>
  <c r="R46" i="21"/>
  <c r="P46" i="21"/>
  <c r="T46" i="21" s="1"/>
  <c r="O46" i="21"/>
  <c r="S46" i="21" s="1"/>
  <c r="N46" i="21"/>
  <c r="M46" i="21"/>
  <c r="R45" i="21"/>
  <c r="P45" i="21"/>
  <c r="T45" i="21" s="1"/>
  <c r="O45" i="21"/>
  <c r="S45" i="21" s="1"/>
  <c r="N45" i="21"/>
  <c r="M45" i="21"/>
  <c r="R6" i="21"/>
  <c r="P6" i="21"/>
  <c r="T6" i="21" s="1"/>
  <c r="O6" i="21"/>
  <c r="S6" i="21" s="1"/>
  <c r="N6" i="21"/>
  <c r="M6" i="21"/>
  <c r="R44" i="21"/>
  <c r="P44" i="21"/>
  <c r="T44" i="21" s="1"/>
  <c r="O44" i="21"/>
  <c r="S44" i="21" s="1"/>
  <c r="N44" i="21"/>
  <c r="M44" i="21"/>
  <c r="R15" i="21"/>
  <c r="P15" i="21"/>
  <c r="T15" i="21" s="1"/>
  <c r="O15" i="21"/>
  <c r="S15" i="21" s="1"/>
  <c r="N15" i="21"/>
  <c r="M15" i="21"/>
  <c r="R5" i="21"/>
  <c r="P5" i="21"/>
  <c r="T5" i="21" s="1"/>
  <c r="O5" i="21"/>
  <c r="S5" i="21" s="1"/>
  <c r="N5" i="21"/>
  <c r="M5" i="21"/>
  <c r="R4" i="21"/>
  <c r="P4" i="21"/>
  <c r="T4" i="21" s="1"/>
  <c r="O4" i="21"/>
  <c r="S4" i="21" s="1"/>
  <c r="N4" i="21"/>
  <c r="M4" i="21"/>
  <c r="R14" i="21"/>
  <c r="P14" i="21"/>
  <c r="T14" i="21" s="1"/>
  <c r="O14" i="21"/>
  <c r="S14" i="21" s="1"/>
  <c r="N14" i="21"/>
  <c r="M14" i="21"/>
  <c r="R43" i="21"/>
  <c r="P43" i="21"/>
  <c r="T43" i="21" s="1"/>
  <c r="O43" i="21"/>
  <c r="S43" i="21" s="1"/>
  <c r="N43" i="21"/>
  <c r="M43" i="21"/>
  <c r="R34" i="21"/>
  <c r="P34" i="21"/>
  <c r="T34" i="21" s="1"/>
  <c r="O34" i="21"/>
  <c r="S34" i="21" s="1"/>
  <c r="N34" i="21"/>
  <c r="M34" i="21"/>
  <c r="R3" i="21"/>
  <c r="P3" i="21"/>
  <c r="T3" i="21" s="1"/>
  <c r="O3" i="21"/>
  <c r="S3" i="21" s="1"/>
  <c r="N3" i="21"/>
  <c r="M3" i="21"/>
  <c r="R13" i="21"/>
  <c r="P13" i="21"/>
  <c r="T13" i="21" s="1"/>
  <c r="O13" i="21"/>
  <c r="S13" i="21" s="1"/>
  <c r="N13" i="21"/>
  <c r="M13" i="21"/>
  <c r="G51" i="18"/>
  <c r="C4" i="20"/>
  <c r="C11" i="20"/>
  <c r="B15" i="20" l="1"/>
  <c r="C15" i="20"/>
  <c r="D7" i="20"/>
  <c r="E7" i="20"/>
  <c r="B17" i="20" s="1"/>
  <c r="E10" i="20"/>
  <c r="D10" i="20"/>
  <c r="E4" i="20" l="1"/>
  <c r="B16" i="20"/>
  <c r="C16" i="20"/>
  <c r="E11" i="20"/>
  <c r="I7" i="20"/>
  <c r="C17" i="20"/>
  <c r="C19" i="20" s="1"/>
  <c r="B19" i="20"/>
  <c r="B18" i="20"/>
  <c r="C18" i="20"/>
  <c r="L3" i="18"/>
  <c r="M3" i="18"/>
  <c r="L4" i="18"/>
  <c r="M4" i="18"/>
  <c r="L5" i="18"/>
  <c r="M5" i="18"/>
  <c r="L6" i="18"/>
  <c r="M6" i="18"/>
  <c r="L7" i="18"/>
  <c r="M7" i="18"/>
  <c r="L8" i="18"/>
  <c r="M8" i="18"/>
  <c r="L9" i="18"/>
  <c r="M9" i="18"/>
  <c r="L10" i="18"/>
  <c r="M10" i="18"/>
  <c r="L11" i="18"/>
  <c r="M11" i="18"/>
  <c r="L12" i="18"/>
  <c r="M12" i="18"/>
  <c r="L13" i="18"/>
  <c r="M13" i="18"/>
  <c r="L14" i="18"/>
  <c r="M14" i="18"/>
  <c r="L15" i="18"/>
  <c r="M15" i="18"/>
  <c r="L16" i="18"/>
  <c r="M16" i="18"/>
  <c r="L17" i="18"/>
  <c r="M17" i="18"/>
  <c r="L18" i="18"/>
  <c r="M18" i="18"/>
  <c r="L19" i="18"/>
  <c r="M19" i="18"/>
  <c r="L20" i="18"/>
  <c r="M20" i="18"/>
  <c r="L21" i="18"/>
  <c r="M21" i="18"/>
  <c r="L22" i="18"/>
  <c r="M22" i="18"/>
  <c r="L23" i="18"/>
  <c r="M23" i="18"/>
  <c r="L24" i="18"/>
  <c r="M24" i="18"/>
  <c r="L25" i="18"/>
  <c r="M25" i="18"/>
  <c r="L26" i="18"/>
  <c r="M26" i="18"/>
  <c r="L27" i="18"/>
  <c r="M27" i="18"/>
  <c r="L28" i="18"/>
  <c r="M28" i="18"/>
  <c r="L29" i="18"/>
  <c r="M29" i="18"/>
  <c r="L30" i="18"/>
  <c r="M30" i="18"/>
  <c r="L31" i="18"/>
  <c r="M31" i="18"/>
  <c r="L32" i="18"/>
  <c r="M32" i="18"/>
  <c r="L33" i="18"/>
  <c r="M33" i="18"/>
  <c r="L34" i="18"/>
  <c r="M34" i="18"/>
  <c r="L35" i="18"/>
  <c r="M35" i="18"/>
  <c r="L36" i="18"/>
  <c r="M36" i="18"/>
  <c r="L37" i="18"/>
  <c r="M37" i="18"/>
  <c r="L38" i="18"/>
  <c r="M38" i="18"/>
  <c r="L39" i="18"/>
  <c r="M39" i="18"/>
  <c r="L40" i="18"/>
  <c r="M40" i="18"/>
  <c r="L41" i="18"/>
  <c r="M41" i="18"/>
  <c r="L42" i="18"/>
  <c r="M42" i="18"/>
  <c r="L43" i="18"/>
  <c r="M43" i="18"/>
  <c r="L44" i="18"/>
  <c r="M44" i="18"/>
  <c r="L45" i="18"/>
  <c r="M45" i="18"/>
  <c r="L46" i="18"/>
  <c r="M46" i="18"/>
  <c r="L47" i="18"/>
  <c r="M47" i="18"/>
  <c r="L48" i="18"/>
  <c r="M48" i="18"/>
  <c r="L49" i="18"/>
  <c r="M49" i="18"/>
  <c r="I6" i="20" l="1"/>
  <c r="J6" i="20" s="1"/>
  <c r="R9" i="19"/>
  <c r="R13" i="19"/>
  <c r="P4" i="19"/>
  <c r="P5" i="19"/>
  <c r="P6" i="19"/>
  <c r="P7" i="19"/>
  <c r="P8" i="19"/>
  <c r="P9" i="19"/>
  <c r="P10" i="19"/>
  <c r="P11" i="19"/>
  <c r="P12" i="19"/>
  <c r="P13" i="19"/>
  <c r="P14" i="19"/>
  <c r="P15" i="19"/>
  <c r="P16" i="19"/>
  <c r="P17" i="19"/>
  <c r="P18" i="19"/>
  <c r="P19" i="19"/>
  <c r="P3" i="19"/>
  <c r="O4" i="19"/>
  <c r="R4" i="19" s="1"/>
  <c r="O5" i="19"/>
  <c r="R5" i="19" s="1"/>
  <c r="O6" i="19"/>
  <c r="R6" i="19" s="1"/>
  <c r="O7" i="19"/>
  <c r="R7" i="19" s="1"/>
  <c r="O8" i="19"/>
  <c r="R8" i="19" s="1"/>
  <c r="O9" i="19"/>
  <c r="O10" i="19"/>
  <c r="R10" i="19" s="1"/>
  <c r="O11" i="19"/>
  <c r="R11" i="19" s="1"/>
  <c r="O12" i="19"/>
  <c r="R12" i="19" s="1"/>
  <c r="O13" i="19"/>
  <c r="O14" i="19"/>
  <c r="R14" i="19" s="1"/>
  <c r="O15" i="19"/>
  <c r="R15" i="19" s="1"/>
  <c r="O16" i="19"/>
  <c r="R16" i="19" s="1"/>
  <c r="O17" i="19"/>
  <c r="R17" i="19" s="1"/>
  <c r="O18" i="19"/>
  <c r="R18" i="19" s="1"/>
  <c r="O19" i="19"/>
  <c r="R19" i="19" s="1"/>
  <c r="O3" i="19"/>
  <c r="R3" i="19" s="1"/>
  <c r="N4" i="19"/>
  <c r="Q4" i="19" s="1"/>
  <c r="N5" i="19"/>
  <c r="Q5" i="19" s="1"/>
  <c r="N6" i="19"/>
  <c r="Q6" i="19" s="1"/>
  <c r="N7" i="19"/>
  <c r="Q7" i="19" s="1"/>
  <c r="N8" i="19"/>
  <c r="Q8" i="19" s="1"/>
  <c r="N9" i="19"/>
  <c r="Q9" i="19" s="1"/>
  <c r="N10" i="19"/>
  <c r="Q10" i="19" s="1"/>
  <c r="N11" i="19"/>
  <c r="Q11" i="19" s="1"/>
  <c r="N12" i="19"/>
  <c r="Q12" i="19" s="1"/>
  <c r="N13" i="19"/>
  <c r="Q13" i="19" s="1"/>
  <c r="N14" i="19"/>
  <c r="Q14" i="19" s="1"/>
  <c r="N15" i="19"/>
  <c r="Q15" i="19" s="1"/>
  <c r="N16" i="19"/>
  <c r="Q16" i="19" s="1"/>
  <c r="N17" i="19"/>
  <c r="Q17" i="19" s="1"/>
  <c r="N18" i="19"/>
  <c r="Q18" i="19" s="1"/>
  <c r="N19" i="19"/>
  <c r="Q19" i="19" s="1"/>
  <c r="N3" i="19"/>
  <c r="Q3" i="19" s="1"/>
  <c r="M4" i="19"/>
  <c r="M5" i="19"/>
  <c r="M6" i="19"/>
  <c r="M7" i="19"/>
  <c r="M8" i="19"/>
  <c r="M9" i="19"/>
  <c r="M10" i="19"/>
  <c r="M11" i="19"/>
  <c r="M12" i="19"/>
  <c r="M13" i="19"/>
  <c r="M14" i="19"/>
  <c r="M15" i="19"/>
  <c r="M16" i="19"/>
  <c r="M17" i="19"/>
  <c r="M18" i="19"/>
  <c r="M19" i="19"/>
  <c r="M3" i="19"/>
  <c r="L4" i="19"/>
  <c r="L5" i="19"/>
  <c r="L6" i="19"/>
  <c r="L7" i="19"/>
  <c r="L8" i="19"/>
  <c r="L9" i="19"/>
  <c r="L10" i="19"/>
  <c r="L11" i="19"/>
  <c r="L12" i="19"/>
  <c r="L13" i="19"/>
  <c r="L14" i="19"/>
  <c r="L15" i="19"/>
  <c r="L16" i="19"/>
  <c r="L17" i="19"/>
  <c r="L18" i="19"/>
  <c r="L19" i="19"/>
  <c r="L3" i="19"/>
  <c r="S22" i="18" l="1"/>
  <c r="S38" i="18"/>
  <c r="Q4" i="18"/>
  <c r="Q5" i="18"/>
  <c r="Q6" i="18"/>
  <c r="Q7" i="18"/>
  <c r="Q8" i="18"/>
  <c r="Q9" i="18"/>
  <c r="Q10" i="18"/>
  <c r="Q11" i="18"/>
  <c r="Q12" i="18"/>
  <c r="Q13" i="18"/>
  <c r="Q14" i="18"/>
  <c r="Q15" i="18"/>
  <c r="Q16" i="18"/>
  <c r="Q17" i="18"/>
  <c r="Q18" i="18"/>
  <c r="Q19" i="18"/>
  <c r="Q20" i="18"/>
  <c r="Q21" i="18"/>
  <c r="Q22" i="18"/>
  <c r="Q23" i="18"/>
  <c r="Q24" i="18"/>
  <c r="Q25" i="18"/>
  <c r="Q26" i="18"/>
  <c r="Q27" i="18"/>
  <c r="Q28" i="18"/>
  <c r="Q29" i="18"/>
  <c r="Q30" i="18"/>
  <c r="Q31" i="18"/>
  <c r="Q32" i="18"/>
  <c r="Q33" i="18"/>
  <c r="Q34" i="18"/>
  <c r="Q35" i="18"/>
  <c r="Q36" i="18"/>
  <c r="Q37" i="18"/>
  <c r="Q38" i="18"/>
  <c r="Q39" i="18"/>
  <c r="Q40" i="18"/>
  <c r="Q41" i="18"/>
  <c r="Q42" i="18"/>
  <c r="Q43" i="18"/>
  <c r="Q44" i="18"/>
  <c r="Q45" i="18"/>
  <c r="Q46" i="18"/>
  <c r="Q47" i="18"/>
  <c r="Q48" i="18"/>
  <c r="Q49" i="18"/>
  <c r="Q3" i="18"/>
  <c r="N23" i="18"/>
  <c r="R23" i="18" s="1"/>
  <c r="O3" i="18"/>
  <c r="S3" i="18" s="1"/>
  <c r="O4" i="18"/>
  <c r="S4" i="18" s="1"/>
  <c r="O5" i="18"/>
  <c r="S5" i="18" s="1"/>
  <c r="O6" i="18"/>
  <c r="S6" i="18" s="1"/>
  <c r="O7" i="18"/>
  <c r="S7" i="18" s="1"/>
  <c r="O8" i="18"/>
  <c r="S8" i="18" s="1"/>
  <c r="O9" i="18"/>
  <c r="S9" i="18" s="1"/>
  <c r="O10" i="18"/>
  <c r="S10" i="18" s="1"/>
  <c r="O11" i="18"/>
  <c r="S11" i="18" s="1"/>
  <c r="O12" i="18"/>
  <c r="S12" i="18" s="1"/>
  <c r="O13" i="18"/>
  <c r="S13" i="18" s="1"/>
  <c r="O14" i="18"/>
  <c r="S14" i="18" s="1"/>
  <c r="O15" i="18"/>
  <c r="S15" i="18" s="1"/>
  <c r="O16" i="18"/>
  <c r="S16" i="18" s="1"/>
  <c r="O17" i="18"/>
  <c r="S17" i="18" s="1"/>
  <c r="O18" i="18"/>
  <c r="S18" i="18" s="1"/>
  <c r="O19" i="18"/>
  <c r="S19" i="18" s="1"/>
  <c r="O20" i="18"/>
  <c r="S20" i="18" s="1"/>
  <c r="O21" i="18"/>
  <c r="S21" i="18" s="1"/>
  <c r="O22" i="18"/>
  <c r="O23" i="18"/>
  <c r="S23" i="18" s="1"/>
  <c r="O24" i="18"/>
  <c r="S24" i="18" s="1"/>
  <c r="O25" i="18"/>
  <c r="S25" i="18" s="1"/>
  <c r="O26" i="18"/>
  <c r="S26" i="18" s="1"/>
  <c r="O27" i="18"/>
  <c r="S27" i="18" s="1"/>
  <c r="O28" i="18"/>
  <c r="S28" i="18" s="1"/>
  <c r="O29" i="18"/>
  <c r="S29" i="18" s="1"/>
  <c r="O30" i="18"/>
  <c r="S30" i="18" s="1"/>
  <c r="O31" i="18"/>
  <c r="S31" i="18" s="1"/>
  <c r="O32" i="18"/>
  <c r="S32" i="18" s="1"/>
  <c r="O33" i="18"/>
  <c r="S33" i="18" s="1"/>
  <c r="O34" i="18"/>
  <c r="S34" i="18" s="1"/>
  <c r="O35" i="18"/>
  <c r="S35" i="18" s="1"/>
  <c r="O36" i="18"/>
  <c r="S36" i="18" s="1"/>
  <c r="O37" i="18"/>
  <c r="S37" i="18" s="1"/>
  <c r="O38" i="18"/>
  <c r="O39" i="18"/>
  <c r="S39" i="18" s="1"/>
  <c r="O40" i="18"/>
  <c r="S40" i="18" s="1"/>
  <c r="O41" i="18"/>
  <c r="S41" i="18" s="1"/>
  <c r="O42" i="18"/>
  <c r="S42" i="18" s="1"/>
  <c r="O43" i="18"/>
  <c r="S43" i="18" s="1"/>
  <c r="O44" i="18"/>
  <c r="S44" i="18" s="1"/>
  <c r="O45" i="18"/>
  <c r="S45" i="18" s="1"/>
  <c r="O46" i="18"/>
  <c r="S46" i="18" s="1"/>
  <c r="O47" i="18"/>
  <c r="S47" i="18" s="1"/>
  <c r="O48" i="18"/>
  <c r="S48" i="18" s="1"/>
  <c r="O49" i="18"/>
  <c r="S49" i="18" s="1"/>
  <c r="N10" i="18"/>
  <c r="R10" i="18" s="1"/>
  <c r="N4" i="18"/>
  <c r="R4" i="18" s="1"/>
  <c r="N5" i="18"/>
  <c r="R5" i="18" s="1"/>
  <c r="N6" i="18"/>
  <c r="R6" i="18" s="1"/>
  <c r="N7" i="18"/>
  <c r="R7" i="18" s="1"/>
  <c r="N8" i="18"/>
  <c r="R8" i="18" s="1"/>
  <c r="N9" i="18"/>
  <c r="R9" i="18" s="1"/>
  <c r="N11" i="18"/>
  <c r="R11" i="18" s="1"/>
  <c r="N12" i="18"/>
  <c r="R12" i="18" s="1"/>
  <c r="N13" i="18"/>
  <c r="R13" i="18" s="1"/>
  <c r="N14" i="18"/>
  <c r="R14" i="18" s="1"/>
  <c r="N15" i="18"/>
  <c r="R15" i="18" s="1"/>
  <c r="N16" i="18"/>
  <c r="R16" i="18" s="1"/>
  <c r="N17" i="18"/>
  <c r="R17" i="18" s="1"/>
  <c r="N18" i="18"/>
  <c r="R18" i="18" s="1"/>
  <c r="N19" i="18"/>
  <c r="R19" i="18" s="1"/>
  <c r="N20" i="18"/>
  <c r="R20" i="18" s="1"/>
  <c r="N21" i="18"/>
  <c r="R21" i="18" s="1"/>
  <c r="N22" i="18"/>
  <c r="R22" i="18" s="1"/>
  <c r="N24" i="18"/>
  <c r="R24" i="18" s="1"/>
  <c r="N25" i="18"/>
  <c r="R25" i="18" s="1"/>
  <c r="N26" i="18"/>
  <c r="R26" i="18" s="1"/>
  <c r="N27" i="18"/>
  <c r="R27" i="18" s="1"/>
  <c r="N28" i="18"/>
  <c r="R28" i="18" s="1"/>
  <c r="N29" i="18"/>
  <c r="R29" i="18" s="1"/>
  <c r="N30" i="18"/>
  <c r="R30" i="18" s="1"/>
  <c r="N31" i="18"/>
  <c r="R31" i="18" s="1"/>
  <c r="N32" i="18"/>
  <c r="R32" i="18" s="1"/>
  <c r="N33" i="18"/>
  <c r="R33" i="18" s="1"/>
  <c r="N34" i="18"/>
  <c r="R34" i="18" s="1"/>
  <c r="N35" i="18"/>
  <c r="R35" i="18" s="1"/>
  <c r="N36" i="18"/>
  <c r="R36" i="18" s="1"/>
  <c r="N37" i="18"/>
  <c r="R37" i="18" s="1"/>
  <c r="N38" i="18"/>
  <c r="R38" i="18" s="1"/>
  <c r="N39" i="18"/>
  <c r="R39" i="18" s="1"/>
  <c r="N40" i="18"/>
  <c r="R40" i="18" s="1"/>
  <c r="N41" i="18"/>
  <c r="R41" i="18" s="1"/>
  <c r="N42" i="18"/>
  <c r="R42" i="18" s="1"/>
  <c r="N43" i="18"/>
  <c r="R43" i="18" s="1"/>
  <c r="N44" i="18"/>
  <c r="R44" i="18" s="1"/>
  <c r="N45" i="18"/>
  <c r="R45" i="18" s="1"/>
  <c r="N46" i="18"/>
  <c r="R46" i="18" s="1"/>
  <c r="N47" i="18"/>
  <c r="R47" i="18" s="1"/>
  <c r="N48" i="18"/>
  <c r="R48" i="18" s="1"/>
  <c r="N49" i="18"/>
  <c r="R49" i="18" s="1"/>
  <c r="N3" i="18"/>
  <c r="R3" i="18" s="1"/>
  <c r="B45" i="2" l="1"/>
  <c r="H76" i="2" l="1"/>
  <c r="H77" i="2"/>
  <c r="H78" i="2"/>
  <c r="H75" i="2"/>
  <c r="G56" i="2" l="1"/>
  <c r="G57" i="2" s="1"/>
  <c r="G58" i="2" s="1"/>
  <c r="G59" i="2" s="1"/>
  <c r="G60" i="2" s="1"/>
  <c r="G61" i="2" s="1"/>
  <c r="G62" i="2" s="1"/>
  <c r="G63" i="2" s="1"/>
  <c r="G64" i="2" s="1"/>
  <c r="G65" i="2" s="1"/>
  <c r="F56" i="2"/>
  <c r="F57" i="2" s="1"/>
  <c r="F58" i="2" s="1"/>
  <c r="F59" i="2" s="1"/>
  <c r="F60" i="2" s="1"/>
  <c r="F61" i="2" s="1"/>
  <c r="F62" i="2" s="1"/>
  <c r="F63" i="2" s="1"/>
  <c r="F64" i="2" s="1"/>
  <c r="F65" i="2" s="1"/>
  <c r="E56" i="2" l="1"/>
  <c r="E57" i="2" s="1"/>
  <c r="E58" i="2" s="1"/>
  <c r="E59" i="2" s="1"/>
  <c r="E60" i="2" s="1"/>
  <c r="E61" i="2" s="1"/>
  <c r="E62" i="2" s="1"/>
  <c r="E63" i="2" s="1"/>
  <c r="E64" i="2" s="1"/>
  <c r="E65" i="2" s="1"/>
  <c r="D56" i="2"/>
  <c r="D57" i="2" s="1"/>
  <c r="D58" i="2" s="1"/>
  <c r="D59" i="2" s="1"/>
  <c r="D60" i="2" s="1"/>
  <c r="D61" i="2" s="1"/>
  <c r="D62" i="2" s="1"/>
  <c r="D63" i="2" s="1"/>
  <c r="D64" i="2" s="1"/>
  <c r="D65" i="2" s="1"/>
  <c r="I56" i="2" l="1"/>
  <c r="I57" i="2" s="1"/>
  <c r="I58" i="2" s="1"/>
  <c r="I59" i="2" s="1"/>
  <c r="I60" i="2" s="1"/>
  <c r="I61" i="2" s="1"/>
  <c r="I62" i="2" s="1"/>
  <c r="I63" i="2" s="1"/>
  <c r="I64" i="2" s="1"/>
  <c r="I65" i="2" s="1"/>
  <c r="H56" i="2"/>
  <c r="H57" i="2" s="1"/>
  <c r="H58" i="2" s="1"/>
  <c r="H59" i="2" s="1"/>
  <c r="H60" i="2" s="1"/>
  <c r="H61" i="2" s="1"/>
  <c r="H62" i="2" s="1"/>
  <c r="H63" i="2" s="1"/>
  <c r="H64" i="2" s="1"/>
  <c r="H65" i="2" s="1"/>
  <c r="C58" i="2"/>
  <c r="C59" i="2" s="1"/>
  <c r="C60" i="2" s="1"/>
  <c r="C61" i="2" s="1"/>
  <c r="C62" i="2" s="1"/>
  <c r="C63" i="2" s="1"/>
  <c r="C64" i="2" s="1"/>
  <c r="C65" i="2" s="1"/>
  <c r="B58" i="2"/>
  <c r="B59" i="2" s="1"/>
  <c r="B60" i="2" s="1"/>
  <c r="B61" i="2" s="1"/>
  <c r="B62" i="2" s="1"/>
  <c r="B63" i="2" s="1"/>
  <c r="B64" i="2" s="1"/>
  <c r="B65" i="2" s="1"/>
</calcChain>
</file>

<file path=xl/comments1.xml><?xml version="1.0" encoding="utf-8"?>
<comments xmlns="http://schemas.openxmlformats.org/spreadsheetml/2006/main">
  <authors>
    <author>Matthias Tuchschmid</author>
  </authors>
  <commentList>
    <comment ref="Z73" authorId="0" shapeId="0">
      <text>
        <r>
          <rPr>
            <b/>
            <sz val="9"/>
            <color indexed="81"/>
            <rFont val="Tahoma"/>
            <family val="2"/>
          </rPr>
          <t>durchschn. Auslastung</t>
        </r>
        <r>
          <rPr>
            <i/>
            <sz val="9"/>
            <color indexed="81"/>
            <rFont val="Tahoma"/>
            <family val="2"/>
          </rPr>
          <t xml:space="preserve">
</t>
        </r>
        <r>
          <rPr>
            <b/>
            <sz val="9"/>
            <color indexed="81"/>
            <rFont val="Tahoma"/>
            <family val="2"/>
          </rPr>
          <t xml:space="preserve">30%  von 636 Sitzplätzen </t>
        </r>
        <r>
          <rPr>
            <i/>
            <sz val="9"/>
            <color indexed="81"/>
            <rFont val="Tahoma"/>
            <family val="2"/>
          </rPr>
          <t xml:space="preserve">
Quelle:
SBB (2014): Zahlen und Fakten.</t>
        </r>
      </text>
    </comment>
    <comment ref="Z74" authorId="0" shapeId="0">
      <text>
        <r>
          <rPr>
            <i/>
            <sz val="9"/>
            <color indexed="81"/>
            <rFont val="Tahoma"/>
            <family val="2"/>
          </rPr>
          <t xml:space="preserve">In einem durchschnittlichen Zug in </t>
        </r>
        <r>
          <rPr>
            <b/>
            <sz val="9"/>
            <color indexed="81"/>
            <rFont val="Tahoma"/>
            <family val="2"/>
          </rPr>
          <t>Deutschland sitzen 125 Personen</t>
        </r>
        <r>
          <rPr>
            <i/>
            <sz val="9"/>
            <color indexed="81"/>
            <rFont val="Tahoma"/>
            <family val="2"/>
          </rPr>
          <t xml:space="preserve">,gemäss  der UIC Statistik (2012). Die genaue Kapazität (=Anzahl Sitzplätze) ist nicht bekannt. Es wird hier mit der Anzahl an Sitzplätzen gemäss einem CH-Fernverkehrszug gerechnet.
</t>
        </r>
        <r>
          <rPr>
            <b/>
            <sz val="9"/>
            <color indexed="81"/>
            <rFont val="Tahoma"/>
            <family val="2"/>
          </rPr>
          <t xml:space="preserve">Durchschn. Auslastung: 42.8%
</t>
        </r>
        <r>
          <rPr>
            <i/>
            <sz val="9"/>
            <color indexed="81"/>
            <rFont val="Tahoma"/>
            <family val="2"/>
          </rPr>
          <t>(falls Zug gleiche Sitzplatzanzahl wie CH-Fernverkehrszug aufweist)</t>
        </r>
      </text>
    </comment>
    <comment ref="Z75" authorId="0" shapeId="0">
      <text>
        <r>
          <rPr>
            <b/>
            <sz val="9"/>
            <color indexed="81"/>
            <rFont val="Tahoma"/>
            <family val="2"/>
          </rPr>
          <t>durchschn. Auslastung
55%  von 425 Sitzplätzen</t>
        </r>
      </text>
    </comment>
    <comment ref="Z76" authorId="0" shapeId="0">
      <text>
        <r>
          <rPr>
            <b/>
            <sz val="9"/>
            <color indexed="81"/>
            <rFont val="Tahoma"/>
            <family val="2"/>
          </rPr>
          <t xml:space="preserve">durchschn. Auslastung
</t>
        </r>
        <r>
          <rPr>
            <i/>
            <sz val="9"/>
            <color indexed="81"/>
            <rFont val="Tahoma"/>
            <family val="2"/>
          </rPr>
          <t>75.7% der Sitzplätze gemässe Balance Lufthansa (2015)</t>
        </r>
      </text>
    </comment>
  </commentList>
</comments>
</file>

<file path=xl/sharedStrings.xml><?xml version="1.0" encoding="utf-8"?>
<sst xmlns="http://schemas.openxmlformats.org/spreadsheetml/2006/main" count="1588" uniqueCount="734">
  <si>
    <t>Thème</t>
  </si>
  <si>
    <t>Consommation</t>
  </si>
  <si>
    <t>Trajet voiture, Lausanne-Berlin, aller-retour</t>
  </si>
  <si>
    <t>Café, unité</t>
  </si>
  <si>
    <t>BAFU ACV Numérique</t>
  </si>
  <si>
    <t>Version du fichier</t>
  </si>
  <si>
    <t>Contact BAFU</t>
  </si>
  <si>
    <t>Contacts Quantis</t>
  </si>
  <si>
    <t>Office fédéral de l'environnement OFEV, Division Economie et Innovation, Monsieur Kaspar Gäggeler, 3003 Berne</t>
  </si>
  <si>
    <t>Quantis, PSE-D, EPFL, 1015 Lausanne, Suisse</t>
  </si>
  <si>
    <t>Jasmine Bitar, analyste ACV, jasmine.bitar@quantis-intl.com, 0041 078 963 60 84</t>
  </si>
  <si>
    <t>Adresse physique: Papiermühlestrasse 172, 3063 Ittigen</t>
  </si>
  <si>
    <t xml:space="preserve">Anne-Sophie Verquere, experte communication ACV, anne-sophie.verquere@quantis-intl.com, 0041 79 565 9118 </t>
  </si>
  <si>
    <t>Chiara Ferrario, expert communication ACV, chiara.ferrario@quantis-intl.com, 0041 76 277 86 65</t>
  </si>
  <si>
    <r>
      <rPr>
        <b/>
        <sz val="11"/>
        <color theme="1"/>
        <rFont val="Arial"/>
        <family val="2"/>
      </rPr>
      <t>Kaspar Gäggeler (contact principal)</t>
    </r>
    <r>
      <rPr>
        <sz val="11"/>
        <color theme="1"/>
        <rFont val="Arial"/>
        <family val="2"/>
      </rPr>
      <t>, kaspar.gaeggeler@bafu.admin.ch, 0041 58 469 18 60</t>
    </r>
  </si>
  <si>
    <r>
      <rPr>
        <b/>
        <sz val="11"/>
        <color theme="1"/>
        <rFont val="Arial"/>
        <family val="2"/>
      </rPr>
      <t>Sebastien Humbert (contact principal)</t>
    </r>
    <r>
      <rPr>
        <sz val="11"/>
        <color theme="1"/>
        <rFont val="Arial"/>
        <family val="2"/>
      </rPr>
      <t>, expert ACV, sebastien.humbert@quantis-intl.com, 0041 79 754 75 66</t>
    </r>
  </si>
  <si>
    <t>Date</t>
  </si>
  <si>
    <t>Commentaires</t>
  </si>
  <si>
    <t>Eau bouillie, bouilloire, 1 L</t>
  </si>
  <si>
    <t>Lecture, roman papier, achat en librairie, 300 pages</t>
  </si>
  <si>
    <t>Inventaire:</t>
  </si>
  <si>
    <t>Evaluation des impacts:</t>
  </si>
  <si>
    <t>Les données par défaut sont prises dans, par ordre de priorité: PEF method 2019, Quantis general guideliens and assumptions.</t>
  </si>
  <si>
    <t>Chaussures, commande en ligne, une paire</t>
  </si>
  <si>
    <t>Chaussures, commande en ligne, trois paires, deux renvoyées et détruites</t>
  </si>
  <si>
    <t>Chaussures, achat en magasin, une paire</t>
  </si>
  <si>
    <t>Qualité ("précision")</t>
  </si>
  <si>
    <t>Bonne</t>
  </si>
  <si>
    <t>Moyenne</t>
  </si>
  <si>
    <t>Rien</t>
  </si>
  <si>
    <t>Très bonne</t>
  </si>
  <si>
    <t>Trajet avion, Lausanne-Berlin, classe eco, aller-retour, un passager</t>
  </si>
  <si>
    <t>Logistique aérienne; Distribution finale (distance allouée)</t>
  </si>
  <si>
    <t>La modélisation exlut les émissions à long terme (en générale cela veut dire les émissions émisent dans plus de 100 ans)</t>
  </si>
  <si>
    <t>Trajet avion, Genève-New York, classe eco, aller-retour, un passager</t>
  </si>
  <si>
    <t>Limitations:</t>
  </si>
  <si>
    <t xml:space="preserve">Certaines données (notamment de la BD LCI UVEK) utilisent un mix electrique suisse alors que toutes les données modélisées par Quantis utilisent un mix ENTSO </t>
  </si>
  <si>
    <t>Hypothèses</t>
  </si>
  <si>
    <t>Lecture</t>
  </si>
  <si>
    <t>(Distribution; Acte d'achat)</t>
  </si>
  <si>
    <t>Water boiled with an electric kettle: boiling = 0.125 kWh/L (own measurements) (Quantis guidelines)</t>
  </si>
  <si>
    <t>6200 km</t>
  </si>
  <si>
    <t>Lausanne-Genève: 60 km; Genève-Berlin: 877 km</t>
  </si>
  <si>
    <t>Consommation des serveurs par Mo-an</t>
  </si>
  <si>
    <t>Trajet voiture, 1 km</t>
  </si>
  <si>
    <t>Envoi email, 1 email, pièce jointe 1 Mo</t>
  </si>
  <si>
    <t>Envoi email, 1000 emails, sans logo</t>
  </si>
  <si>
    <t>Fabrication du jeu (support); (Acte d'achat)</t>
  </si>
  <si>
    <t>Ecoute, musique, CD, 1 h</t>
  </si>
  <si>
    <t>Déplacement au magasin (à pied ici)</t>
  </si>
  <si>
    <t>Ecoute, radio, live, laptop, 1 h</t>
  </si>
  <si>
    <t>Quantité de données transmises?</t>
  </si>
  <si>
    <t>Ecoute, radio, replay, laptop, 1 h</t>
  </si>
  <si>
    <t>Ecoute, radio, live, FM, 1 h</t>
  </si>
  <si>
    <t>Envoi email, 1000 emails, avec logo</t>
  </si>
  <si>
    <t>Jeu vidéo, acheté en magasin, offline, 1 h</t>
  </si>
  <si>
    <t>Jeu vidéo, réalité virtuelle, 1 h</t>
  </si>
  <si>
    <t>Jeu vidéo, téléchargé, en ligne, 1 h</t>
  </si>
  <si>
    <t>Jeu vidéo, téléchargé, offline, 1 h</t>
  </si>
  <si>
    <t>Carottes suisses, cuites, 250 g</t>
  </si>
  <si>
    <t>Empreinte carbone (kg CO2e)</t>
  </si>
  <si>
    <t>Unité</t>
  </si>
  <si>
    <t xml:space="preserve">FAN </t>
  </si>
  <si>
    <t>"we assume that FAN electricity intensity is in the order of magnitude of 0.1–0.2 TWh/EB in 2012."</t>
  </si>
  <si>
    <t>"From 2012 to 2030 the overall electricity efficiency is expected to improve (…) by 10% in the expected (…) scenario."</t>
  </si>
  <si>
    <t>1 TWh/EB = 1 Wh/Mo</t>
  </si>
  <si>
    <t>Wh/Mo</t>
  </si>
  <si>
    <t>Data centers</t>
  </si>
  <si>
    <t>"For 2010, the data center electric usages (...) for (...) expected (…) scenario are calculated by the 2010 global data center IP traffic and(…) electricity per data values, (…) 0.14 (…) TWh/EB,"</t>
  </si>
  <si>
    <t>"annual electricity efficiency improvement, (…) 10% (expected)"</t>
  </si>
  <si>
    <t>Note in Andrae 2015: "The result for fixed access wired could be over-estimated due to too high starting values for TWh/EB in 2010–2012."</t>
  </si>
  <si>
    <t>The Shift project</t>
  </si>
  <si>
    <t>FAN</t>
  </si>
  <si>
    <t>L'infrastructure est considérée des fois où seul l'utilisation marginale (consommation d'électricité) serait justifiée.</t>
  </si>
  <si>
    <t>4G</t>
  </si>
  <si>
    <t>Andrae and Edler 2015:</t>
  </si>
  <si>
    <t>"electricity intensity 4G mobile data traffic in 2010 (…) 0.6 (…) TWh/EB"</t>
  </si>
  <si>
    <t>"annual electricity efficiency improvement, (…) 22% (expected)"</t>
  </si>
  <si>
    <t>"electricity intensity 5G mobile data traffic in 2010 (…) 0.06 (…) TWh/EB"</t>
  </si>
  <si>
    <t>5G</t>
  </si>
  <si>
    <t>ARCEP: https://www.arcep.fr/uploads/tx_gspublication/reseaux-du-futur-empreinte-carbone-numerique-juillet2019.pdf</t>
  </si>
  <si>
    <t>Hanna Pihkola, Mikko Hongisto, Olli Apilo and Mika Lasanen, 2018. Evaluating the Energy Consumption of Mobile Data Transfer—From Technology Development to Consumer Behaviour and Life Cycle Thinking.</t>
  </si>
  <si>
    <t>Anders S. G. Andrae and Tomas Edler 2015. On Global Electricity Usage of Communication Technology: Trends to 2030. Challenges 2015, 6, 117-157; doi:10.3390/challe6010117</t>
  </si>
  <si>
    <t>Note: Consommation estimnée à 10x plus faible que pour la 4G</t>
  </si>
  <si>
    <t>Wifi 16 W à 2 MB/s (Quantis mesure) (= 7200 MB/h)</t>
  </si>
  <si>
    <t>Entrecôte de boeuf suisse, 250 g</t>
  </si>
  <si>
    <t>Production des carottes + cuisson modélisés; PEF method 2019: 1 kWh/h for cooking; Assuming 20 min cooking</t>
  </si>
  <si>
    <t xml:space="preserve">Café filtre; Cycle de vie complet; basé sur la screening du PEFCR Coffee </t>
  </si>
  <si>
    <t>Modèle OEFSR Retail (production et fin de vie d'une paire de chaussures); Distribution (transport total usine-magasin, centre de distribution, magasin, déplacement du client au magasin) basée sur PEF method 2019 avec déplacement au magasin en voiture selon PEF method 2019 (1 kg total, 10 L volume)</t>
  </si>
  <si>
    <t>Sources:</t>
  </si>
  <si>
    <t>Calculs des consommations du système de transmissions et des serveurs:</t>
  </si>
  <si>
    <t>FIN</t>
  </si>
  <si>
    <t>Activité</t>
  </si>
  <si>
    <t>Durée</t>
  </si>
  <si>
    <t>Transmission</t>
  </si>
  <si>
    <t>Résolution</t>
  </si>
  <si>
    <t>Nombre Mo</t>
  </si>
  <si>
    <t>CO2 (g)</t>
  </si>
  <si>
    <t>Youtube</t>
  </si>
  <si>
    <t>10 min</t>
  </si>
  <si>
    <t>11,00</t>
  </si>
  <si>
    <t>Wifi</t>
  </si>
  <si>
    <t>9,63</t>
  </si>
  <si>
    <t>18,66</t>
  </si>
  <si>
    <t>Téléjournal RTS replay</t>
  </si>
  <si>
    <t>inconnu</t>
  </si>
  <si>
    <t>24,10</t>
  </si>
  <si>
    <t>Données mesurées par Kaspar (kaspar.gaeggeler@bafu.admin.ch) sur son smartphone (20.03.2020, avec Mobile Carbonalyser):</t>
  </si>
  <si>
    <t>Linéarité des résultats? (l'impact est-il double si la consommation est double?)</t>
  </si>
  <si>
    <t>Linéaire</t>
  </si>
  <si>
    <t>Presque linéaire</t>
  </si>
  <si>
    <t>Transmission, wifi, 1 h</t>
  </si>
  <si>
    <t>Dataset directement pris de UVEK (Use, computer, active mode/RER U - 1hr; Note: consommation 19 W)</t>
  </si>
  <si>
    <t>Lecture, journal local, papier</t>
  </si>
  <si>
    <t>Lecture, journal international, papier</t>
  </si>
  <si>
    <t>Anders Andrae, personal communication, 26.03.2020:</t>
  </si>
  <si>
    <t>Consommation 5G:</t>
  </si>
  <si>
    <t>Consommation FAN (2020):</t>
  </si>
  <si>
    <t>0.07 kWh/Go</t>
  </si>
  <si>
    <t>(Acte d'achat) (Fin de vie)</t>
  </si>
  <si>
    <t>Sous-datasets:</t>
  </si>
  <si>
    <t>Notes</t>
  </si>
  <si>
    <t>Radio/CD player (mesure Quantis): consommation 8 W (idem fonction radio et fonction CD), masse de 4 kg. Hypothèse: 7300 h d'utilisation</t>
  </si>
  <si>
    <t>Usage terminal, telephone fixe, h</t>
  </si>
  <si>
    <t>Consommation 10 W, https://www.energie-environnement.ch/electronique-informatique/telephone-fixe/1441
Masse = 200 g (hypothèse); 3650 h d'utilisation (hypothèse)</t>
  </si>
  <si>
    <t>2 personnes se parlent; telephone + transmission données</t>
  </si>
  <si>
    <t>Transmission de données, réseau téléphonique, h</t>
  </si>
  <si>
    <t>2 personnes se parlent; telephone portable/smartphone + transmission données approximée avec réseau téléphone</t>
  </si>
  <si>
    <t>Transmission des données (car approximée avec réseau téléphone fixe)</t>
  </si>
  <si>
    <t>Notes pour l'analyse</t>
  </si>
  <si>
    <t>Usage terminal, radio/CD player, h</t>
  </si>
  <si>
    <t>CD et emballage: 90 g (15 g CD, 70 g boîte, 5 g papier - mesure Quantis), Production selon IO NL avec 2 CHF (hypothèse), Distribution selon PEF method 2019 (provenance Europe (3500 km par camion) et 0.1 L de volume); hypothèse de 100 heures d'écoute par CD. Utilisation CD player</t>
  </si>
  <si>
    <t>Impact dominé par la fabrication du CD (et du CD player). Donc plus on écoute le même CD et/ou plus on utilise son CD player, moins il y a d'impact par heure d'écoute; pour une très grande écoute, on arrive à 4 g CO2e/h (= impact de la consommation électrique par heure)</t>
  </si>
  <si>
    <t>Radio + transmission données (approximée par le téléphone fixe)</t>
  </si>
  <si>
    <t>Moyennement linéaire</t>
  </si>
  <si>
    <t>Moyennement linéaire (40% de l'impact de la fabrication de la radio - qui diminue en fonction du nombre d'heures écoutée)</t>
  </si>
  <si>
    <t>Utilisation des serveurs incertaine</t>
  </si>
  <si>
    <t>Poids CD 15 g, 100 g de packaging; Production selon IO NL avec 2 CHF (hypothèse); Distribution selon PEF method 2019 (Hypothèse: volume = 1 L et 3500 km en camion); Déplacement au magasin à pied; On suppose que le joueur jouera 220 heures (statistique jeuxvideos.com); Ordi 1 h</t>
  </si>
  <si>
    <t>Ecoute, musique, streaming, smartphone, 1 h</t>
  </si>
  <si>
    <t>Usage terminal, TV, h</t>
  </si>
  <si>
    <t>TV (1 h) + réseau (hypothèse ADSL 1 Go, sans wifi)</t>
  </si>
  <si>
    <t>Calcul:</t>
  </si>
  <si>
    <t>Mo/h</t>
  </si>
  <si>
    <t>Serveurs incertains (mais ne dominent pas l'impact)</t>
  </si>
  <si>
    <t>Usage terminal, smartphone, h</t>
  </si>
  <si>
    <t>impacts consommation (8 W) et fabrication appareil (4 kg pour 7300 heures) similaires</t>
  </si>
  <si>
    <t>consommation domine l'impact</t>
  </si>
  <si>
    <t>Nom de l'action dans le modèle</t>
  </si>
  <si>
    <t>Stockage de données, cloud, Mo.an</t>
  </si>
  <si>
    <t>Stockage de données, disque, Mo.an</t>
  </si>
  <si>
    <t>Basé sur un dataset construit par Quantis pour les disques durs (5 ans, capacité de 256 Go)</t>
  </si>
  <si>
    <t>Usage terminal, tablette, h</t>
  </si>
  <si>
    <t>Hypothèse roman poche de 300 pages, 11x18 cm, 80 g/m2; Hypothèse: Imprimerie-librairie: 3500 km par camion (PEF method 2019); centre de distribution, magasin, déplacement à la librairie à pied; Volume DC/Retail = 1L</t>
  </si>
  <si>
    <t>Data center, activité, moyenne, par Mo généré</t>
  </si>
  <si>
    <t>Consommation électrique uniquement: 1.63 Wh/Go, basé sur Andrae 2019 (Projecting the chiaroscuro of the electricity use of communication and computing from 2018 to 2030, DOI: 10.13140/RG.2.2.25103.02724 - Table 1, present scenario for 2020).</t>
  </si>
  <si>
    <t>Modélisation du service en ligne incertaine</t>
  </si>
  <si>
    <t>Hypothèse photo de 2 Mo; Ordi (10 min) + ADSL+wifi (data)</t>
  </si>
  <si>
    <t>Netflix: https://media.netflix.com/en/company-blog/renewable-energy-at-netflix-an-update</t>
  </si>
  <si>
    <t>Nom du dataset dans le modèle (Simapro)</t>
  </si>
  <si>
    <t>Modèle Simapro: "BAFU ACV Numérique"</t>
  </si>
  <si>
    <t>Jeu vidéo, streaming, twitch, 1 h</t>
  </si>
  <si>
    <t>Stockage, cloud, 1000 emails, 5 ans</t>
  </si>
  <si>
    <t>Stockage, cloud, 1000 photos, 1 an</t>
  </si>
  <si>
    <t>Stockage, disque externe, 1000 photos, 1 an</t>
  </si>
  <si>
    <t>1 km, moyenne du parc automobile</t>
  </si>
  <si>
    <t>Lausanne-Berlin: 1060 km</t>
  </si>
  <si>
    <t>Paiement, e-banking, 1 paiement</t>
  </si>
  <si>
    <t>Transmission, 4G, 1000 Mo</t>
  </si>
  <si>
    <t>Transmission, 5G, 1000 Mo</t>
  </si>
  <si>
    <t>Transmission, ADSL, 1000 Mo</t>
  </si>
  <si>
    <t>Transmission, fibre, 1000 Mo</t>
  </si>
  <si>
    <t>Transmission, wifi, 1000 Mo</t>
  </si>
  <si>
    <t>Basé sur le dataset UVEK "Use, network access devices/CH U" (dataset qui utilise 7.5 W et 1 Mbits/s) corrigé avec le mix ENTSO et pour une utilisation de 2000 Mo/jour (hypothèse). Info: D'après l'ARSEP (https://www.arcep.fr/uploads/tx_gspublication/reseaux-du-futur-empreinte-carbone-numerique-juillet2019.pdf), l'ADSL consomme 1,8 Watt par ligne.</t>
  </si>
  <si>
    <t>Il est rare qu'on doit racheter un deuxième disque car notre premier disque est plein?</t>
  </si>
  <si>
    <t>2/3 consommation electrique (qui elle est proportionelle à l'utilisation), 1/3 allocation infrastructure ordi (qui lui est pas vraiment proportionel à l'utilisation)</t>
  </si>
  <si>
    <t>A notre grande surprise, la quantité de données transférée lors d'une lecture en ligne d'une heure est plus importante qu'imaginée. Autant que si l'on regarde un film/episode d'une heure sur netflix (mesure Quantis)</t>
  </si>
  <si>
    <t>Bonne (usage laptop et wifi équivalents en terme d'impact)</t>
  </si>
  <si>
    <t>Bonne (usage laptop, wifi et données équivalents en terme d'impact)</t>
  </si>
  <si>
    <t>Liste de gestes (appelés "actions") du quotidien évalués</t>
  </si>
  <si>
    <t>Gestes du quotidien, notamment numériques</t>
  </si>
  <si>
    <t>Datasets importés d'autres bases de données ou projets:</t>
  </si>
  <si>
    <t>Mo.an</t>
  </si>
  <si>
    <t>h</t>
  </si>
  <si>
    <t>Mo</t>
  </si>
  <si>
    <t>kg</t>
  </si>
  <si>
    <t>A notre grande surprise, la quantité de données transférée lors d'une lecture en ligne d'une heure est plus importante qu'imaginée. Autant que si l'on regarde un film/episode d'une heure sur netflix (mesure Quantis); Pour comparaison, avec calculs basé sur le nombre de visites (voir onglet "Sous-datasets et Notes"), impact du site web du journal de l'ordre de 2 g CO2e / visite (de 1 heure)</t>
  </si>
  <si>
    <t>Modélisation des serveurs du moteur de recherche incertaine.</t>
  </si>
  <si>
    <t>Discussion, par tele-conference, partage d'écran, SANS vidéo, 2 personnes, 1 h</t>
  </si>
  <si>
    <t>Linéaire (avec le temps de discussion)</t>
  </si>
  <si>
    <t>Impression, noir et blanc, recto, 1 feuille A4</t>
  </si>
  <si>
    <t>ATTENTION: Ne pas comparer avec la 4G: Incertitude trop grande pour clamer que la 5G consomme 10x moins que la 4G par Go</t>
  </si>
  <si>
    <t>ATTENTION: Ne pas comparer avec la 5G: Incertitude trop grande pour clamer que la 5G consomme 10x moins que la 4G par Go</t>
  </si>
  <si>
    <t>Transmission, données mobiles, 1000 Mo</t>
  </si>
  <si>
    <t>Andrae 2019. Projecting the chiaroscuro of the electricity use of communication and computing from 2018 to 2030 (DOI: 10.13140/RG.2.2.25103.02724). Downloadable at  https://www.researchgate.net/publication/331047520</t>
  </si>
  <si>
    <t>Note: Donnée la plus haute prise en compte. Certaines données donnent une valeur 12x plus petite pour 2020</t>
  </si>
  <si>
    <t>Lecture, roman e-book, 300 pages</t>
  </si>
  <si>
    <t>Impact dominé par l'amortissement de l'infrastructure de l'e-book. Avec l'hypothèse qu'on a acheté un e-book pour pouvoir lire des livres au lieu d'acheter des livres papiers.</t>
  </si>
  <si>
    <t>La question est donc "Le livre a-t-il dû "prendre" l'avion pour être livré?"</t>
  </si>
  <si>
    <t>Pas linéaire (car comme l'impact est dominé par l'amortissement de la fabrication de la tablette, plus on lit sur sa tablette, moins on a d'impact par heure de lecture)</t>
  </si>
  <si>
    <t>+/- 30%</t>
  </si>
  <si>
    <t>+/- facteur 2</t>
  </si>
  <si>
    <t>+/- 20%</t>
  </si>
  <si>
    <t>Incertitude (sans prendre en compte les variations liées au mix electrique de base)</t>
  </si>
  <si>
    <t>Calcul de l'impact des serveurs:</t>
  </si>
  <si>
    <t>Les serveurs se composent de deux éléments:</t>
  </si>
  <si>
    <t>Stockage</t>
  </si>
  <si>
    <t>Hébergement</t>
  </si>
  <si>
    <t>Stockage mesuré en données (e.g. To) stockées pendant un certain temps (e.g. an)</t>
  </si>
  <si>
    <t>Il faut compter environ 1 serveur d'hébergement pour supporter 1'000 demandes d'accès (donc 1'000 visites) max par heure (ou, en prenant en compte la variabilité dans les connections, 80'000 visites par mois)</t>
  </si>
  <si>
    <t>De manière générale, on doit multiplier par 4 la taille de tout fichier stocké, pour prendre le compte la sécurisation (x2) et la redondance (x2) (la redondance permettant de rendre l'accès plus facile)</t>
  </si>
  <si>
    <t>Data center (for hosting) blade system BC-2_Materials {GLO} (for 8 servers)| market for | Cut-off, S</t>
  </si>
  <si>
    <t>Data center (for storage) BC-3_Materials {GLO}| market for | Cut-off, S (per 240 To.an)</t>
  </si>
  <si>
    <t>Lecture de 1 h (ordi + wifi + ADSL) et 400 Mo transférés (mesure Quantis, site "Le Temps")
Site web: 1'000'000 visites/mois; Taille = 40 To (hypothèse)
Un facteur de 4 est ajouté pour prendre en compte la Redondance (x2) et le Backup (x2)</t>
  </si>
  <si>
    <t>Poids de 300 ko, 10 min de lecture, stockage de 4 ans sur les serveurs; Ordi+Wifi (temps) + ADSL (data)
Facteur 4 pour prendre en compte la redondance (x2) et le backup (x2).</t>
  </si>
  <si>
    <t>Site web / stockage en ligne</t>
  </si>
  <si>
    <t>Moyenne (impacts ordi, wifi, transmissions données, et site web similaires)</t>
  </si>
  <si>
    <t>+/- 50%</t>
  </si>
  <si>
    <t>+/- 40%</t>
  </si>
  <si>
    <t>Presque linéaire avec le temps de lecture (en effet, une partie non négligeable de l'impact provient de la consommation electrique de l'ordi et du wifi (et en partie pour l'ADSL et le site web), donc 2 heures de lecture aura plus d'impact qu'une heure de lecture - mais pas le double!)</t>
  </si>
  <si>
    <t>Presque linéaire avec le temps de lecture et la taille (avec la taille et le temps de lecture - mais les deux sont a priori corrélés)</t>
  </si>
  <si>
    <t>Lecture, newsletter mail, 300 ko, 10 min</t>
  </si>
  <si>
    <t>Linéaire (avec la taille du journal)</t>
  </si>
  <si>
    <t>+/-30 % (quazi-uniquement une question de taille du journal)</t>
  </si>
  <si>
    <t>(Livraison sur le "dernier km") (Fin de vie)</t>
  </si>
  <si>
    <t>L'impact est dominé par la production du papier (et un peu l'impression). Donc l'impact du journal est corrélé à sa masse et donc sa taille. Il ne faut évidemment PAS aller chercher son journal en voiture (avec un trajet dédié en voiture), sinon l'impact "explose" à cause de la voiture</t>
  </si>
  <si>
    <t>Hypothèse: 80 g (mesure "Le Temps"); Distribution imprimerie-kiosque/client (PEF method 2019); Hypothèse: Achat a pied (ou livraison à domicile)
Note: Livraison par la poste correspond à environ 20 g CO2e par item livré (mais 0 si il y a de toute façon une lettre ou autre livrée chaque jour)</t>
  </si>
  <si>
    <t>Hypothèse journal de 80 g; Transporté depuis les US (New-York - Zurich, 6300 km); Distribution aéroport-kiosque/client (PEF method 2019); Hypothèse: Achat a pied (ou livraison à domicile). Note: Livraison par la poste correspond à environ 20 g CO2e par item livré (mais 0 si il y a de toute façon une lettre ou autre livrée chaque jour)</t>
  </si>
  <si>
    <t>Dominé par le transport aérien et donc complétement lié à où est imprimé le journal et comment est-il livré</t>
  </si>
  <si>
    <t>La question est donc "Le journal a-t-il du "prendre" l'avion pour être livré?" Est-ce qu'un journal international est imprimé localement?? A discuter avec les journaliste?</t>
  </si>
  <si>
    <t>Presque linéaire (avec le temps de lecture sur l'ordi (et donc, en partie, avec la taille du PDF))</t>
  </si>
  <si>
    <t>Stockage en ligne du PDF pendant plusieures années sur le site web du journal</t>
  </si>
  <si>
    <t>Moyenne (impacts dominés par l'ordi et le wifi, et le site web du journal)</t>
  </si>
  <si>
    <t>+/- 50% (le wifi n'a pas besoin d'être allumé pendant la lecture une fois le PDF téléchargé; stockge sur site web incertain)</t>
  </si>
  <si>
    <t>Lecture de 1 h (ordi + wifi) et 50 Mo transférés pour un PDF de 7 Mo (mesure Quantis, site "Le Temps") (ADSL); Hypothèse: stockage du journal sur le site web, considéré avec un server de stockage pendant 5 ans (mais sans le serveur d'hébergement qui lui est celui du site web).
Site web: 1'000'000 visites/mois (avec une moyenne de 30'000 lecteurs online); Taille = 40 To (hypothèse)
Un facteur de 4 est ajouté pour prendre en compte la Redondance (x2) et la Backup (x2)</t>
  </si>
  <si>
    <t>Impact dominé par le stockage de données en ligne, puis l'ordinateur et le wifi</t>
  </si>
  <si>
    <t>Attention à ne pas faire un trajet dédié en voiture à la librairie (sinon on "explose" assez vite les impacts)</t>
  </si>
  <si>
    <t>+/- 30% (principalement taille du livre)</t>
  </si>
  <si>
    <t>Déplacement à la librairie (à pied ici); Impact de la librairie</t>
  </si>
  <si>
    <t>Bonne (impact dominé par la production du livre, et ensuite par la livraison en camion et la librairie)</t>
  </si>
  <si>
    <t>Hypothèse roman poche de 300 pages, rythme de lecture 3 h pour 100 pages; Poids moyen e-book 3 Mo (source : www.actualitte.com); Tablette (temps) + ADSL+wifi+Datacenter (data)
Facteur 4 pour les données sur le site web pour prendre en compte la redondance (x2) et le backup (x2)</t>
  </si>
  <si>
    <t>Moyenne (impact complétement dominé par l'amortissement de la tablette)</t>
  </si>
  <si>
    <t>Impact dominé par l'infrastructure de la tablette (et non pas la consommation) et donc par l'hypothèse du nombre d'heures de lectures par vie de la tablette; (fabrication de la tablette)</t>
  </si>
  <si>
    <t>Bonne (! Mais très variable avec la livraison en avion ou pas!)</t>
  </si>
  <si>
    <t>Linéaire (avec la taille du livre)</t>
  </si>
  <si>
    <t>Lorsqu'un dataset n'existe pas dans UVEK, il a été copié/importé d'une autre banque de données, avec, par ordre de priorit: ecoinvent 2, ecoinvent 3 cut-off, OEFSR Retail virtual organization, PEFCR Coffee Screening, Input-Output, projets Quantis.</t>
  </si>
  <si>
    <t>Linéarité des résultats? (p.ex. l'impact est-il double si la consommation est double?)</t>
  </si>
  <si>
    <r>
      <t>"Jeu video, telechargé, offline, 1 h" + 0.016 kWh/h (sensors de réaslité virtue</t>
    </r>
    <r>
      <rPr>
        <sz val="11"/>
        <color theme="1"/>
        <rFont val="Calibri"/>
        <family val="2"/>
        <scheme val="minor"/>
      </rPr>
      <t xml:space="preserve">lle - </t>
    </r>
    <r>
      <rPr>
        <sz val="11"/>
        <color theme="1"/>
        <rFont val="Calibri (Corps)"/>
      </rPr>
      <t>Green Gaming: Energy Efficiency without Performance Compromise, Research performed under the project entitled: A Plug-loads Game Changer: Gaming System Energy Efficiency without Performance Compromise - CEC/LBNL Agreement # EPC-15-023 – Task 7)</t>
    </r>
  </si>
  <si>
    <r>
      <t xml:space="preserve">Lecture, journal </t>
    </r>
    <r>
      <rPr>
        <b/>
        <sz val="11"/>
        <color theme="1"/>
        <rFont val="Calibri (Corps)"/>
      </rPr>
      <t>local, ordinateur, lecture en ligne</t>
    </r>
  </si>
  <si>
    <r>
      <t xml:space="preserve">Lecture, journal </t>
    </r>
    <r>
      <rPr>
        <b/>
        <sz val="11"/>
        <color theme="1"/>
        <rFont val="Calibri (Corps)"/>
      </rPr>
      <t>local</t>
    </r>
    <r>
      <rPr>
        <b/>
        <sz val="11"/>
        <color theme="1"/>
        <rFont val="Calibri"/>
        <family val="2"/>
        <scheme val="minor"/>
      </rPr>
      <t>, ordinateur</t>
    </r>
    <r>
      <rPr>
        <b/>
        <sz val="11"/>
        <color theme="1"/>
        <rFont val="Calibri (Corps)"/>
      </rPr>
      <t>, PDF téléchargé</t>
    </r>
  </si>
  <si>
    <r>
      <t xml:space="preserve">Hypothèse roman poche de 300 pages, 11x18 cm, 80 g/m2; Hypothèse: Imprimerie-Zurich: Approvisionnement depuis l'Europe (3500 km) par </t>
    </r>
    <r>
      <rPr>
        <b/>
        <sz val="11"/>
        <color theme="1"/>
        <rFont val="Calibri"/>
        <family val="2"/>
        <scheme val="minor"/>
      </rPr>
      <t>AVION</t>
    </r>
    <r>
      <rPr>
        <sz val="11"/>
        <color theme="1"/>
        <rFont val="Calibri"/>
        <family val="2"/>
        <scheme val="minor"/>
      </rPr>
      <t xml:space="preserve"> (PEF method 2019); Distribution Zurich-client: 250 km par van (PEF method 2019); centre de distribution; Volume DC = 1L; Comande sur internet pendant 10 min et 50 Mo (Ordi+Wifi (temps) + ADSL (data)); Facteur 4 pris en compte pour le site web (data center) pour la redondance (x2) et le backup (x2)</t>
    </r>
  </si>
  <si>
    <r>
      <t>10 Mo pour 10 min de message (Quantis data)</t>
    </r>
    <r>
      <rPr>
        <sz val="11"/>
        <color theme="1"/>
        <rFont val="Calibri (Corps)"/>
      </rPr>
      <t>; 2 utilisateurs (10 min pour la création et 10 min pour l'écoute)</t>
    </r>
    <r>
      <rPr>
        <sz val="11"/>
        <color theme="1"/>
        <rFont val="Calibri"/>
        <family val="2"/>
        <scheme val="minor"/>
      </rPr>
      <t>; Datacenter</t>
    </r>
  </si>
  <si>
    <r>
      <rPr>
        <b/>
        <sz val="11"/>
        <color theme="1"/>
        <rFont val="Calibri (Corps)"/>
      </rPr>
      <t>Ordinateur</t>
    </r>
    <r>
      <rPr>
        <b/>
        <sz val="11"/>
        <color theme="1"/>
        <rFont val="Calibri"/>
        <family val="2"/>
        <scheme val="minor"/>
      </rPr>
      <t>, usage bureautique, 1 h</t>
    </r>
  </si>
  <si>
    <r>
      <t>Discussion, par tele-conference</t>
    </r>
    <r>
      <rPr>
        <b/>
        <sz val="11"/>
        <color theme="1"/>
        <rFont val="Calibri (Corps)"/>
      </rPr>
      <t>, partage d'écran,</t>
    </r>
    <r>
      <rPr>
        <b/>
        <sz val="11"/>
        <color theme="1"/>
        <rFont val="Calibri"/>
        <family val="2"/>
        <scheme val="minor"/>
      </rPr>
      <t xml:space="preserve"> </t>
    </r>
    <r>
      <rPr>
        <b/>
        <sz val="11"/>
        <color theme="1"/>
        <rFont val="Calibri (Corps)"/>
      </rPr>
      <t xml:space="preserve">AVEC </t>
    </r>
    <r>
      <rPr>
        <b/>
        <sz val="11"/>
        <color theme="1"/>
        <rFont val="Calibri"/>
        <family val="2"/>
        <scheme val="minor"/>
      </rPr>
      <t>vidéo, 2 personnes, 1 h</t>
    </r>
  </si>
  <si>
    <t>Lecture, roman papier, achat en ligne, 300 pages</t>
  </si>
  <si>
    <t>Production de la viande + cuisson modélisés; Bœuf: Allocation ratio de 1.9 utilisé du PEF method 2019 (pour avoir l'impact moyen de la viande) + allocation d'un facteur 2 pour évaluer l'entrcôte par rapport à la viande moyenne (estimation); Cuisson: 1 kWh/h for 10 min (PEF method 2019)</t>
  </si>
  <si>
    <t>Poids emails : 90% des emails sont à 50 ko - 10% des emails sont à 5Mo; ADSL+wifi (data); Ordi négligé car pas d'action nécessaire pour avoir ses emails stocké sur le cloud (c'est par défaut)
Facteur 4 pris en compte pour redondance (x2) et backup (x2)</t>
  </si>
  <si>
    <t>Linéaire (avec la taille et le nombre d'années stockés)</t>
  </si>
  <si>
    <t>Consommation des serveurs par Mo-an incertaine (incertitude surtout sur le nombre de serveurs pour l'hébergement); Facteur 4 pour la redondance (x2) et le backup (2x)</t>
  </si>
  <si>
    <t>Ce qui peut être amélioré</t>
  </si>
  <si>
    <t>Hypothèse photo de 2 Mo; Ordi (10 min) + Disque externe (hypothèse: seulement 20% du disque est utilisé en moyenne (donc impact du disque multiplié par 5))</t>
  </si>
  <si>
    <t>+/- 50% (on fait l'hypothèse que seulement 20% du disque est utilisé)</t>
  </si>
  <si>
    <t>(Production du disque); taux d'utilisation du disque</t>
  </si>
  <si>
    <t>2 x 1 h ordi, 2 x 1 h wifi, ADSL+Datacenter avec  80 Mo/h de données transférées (mesure Quantis, avec Skype) et 2 x 5 W additionnels pour les ordis (20 W --&gt; 25 W, mesure Quantis) 
Facteur 4 pris en compte pour le traitement des 80 M dans les centres de traitement (x2 pour redondance et x2 pour backup)
Note: Application Skype (216 Mo) téléchargée 1x/an pour 200 h d'utilisation/an (hypothèse) --&gt; négligeable</t>
  </si>
  <si>
    <t>(Data center pour traiter les données skype)</t>
  </si>
  <si>
    <t>2 x 1 h ordi, 2 x 1 h wifi, ADSL+Datacenter avec  400 Mo/h de données transférées (mesure Quantis, avec Skype) et 2 x 10 W additionels pour les ordis (20 W --&gt; 30 W, mesure Quantis); 
Facteur 4 pris en compte pour la redondance (x2) et la backup (x2) pour le traitement des données.
Note: Application Skype (216 Mo) téléchargée 1x/an pour 200 h d'utilisation/an (hypothèse) --&gt; négligeable</t>
  </si>
  <si>
    <t>Presque linéaire (avec le temps d'usage)</t>
  </si>
  <si>
    <t>+/- 10%</t>
  </si>
  <si>
    <t>Hypothèse sur la fraction du temps où le wifi est allumé</t>
  </si>
  <si>
    <t>Linéaire (avec le temps d'utilisation)</t>
  </si>
  <si>
    <t>Wifi 16 W (Quantis mesure) (pour un wifi de 2 MB/s max); Masse = 1 kg; Durée de vie = 5 ans; Utilisation effective = 50%</t>
  </si>
  <si>
    <t>Note: wifi utilisé à pleine puissance en terme de données/s</t>
  </si>
  <si>
    <t>Très bonne (impact dominé par la consommation electrique, qui est indépendante de la quantité de données transmises)</t>
  </si>
  <si>
    <t>Presque linéaire (avec la quantité de données transférées)</t>
  </si>
  <si>
    <t>Linéaire (avec la quantité de données transférées)</t>
  </si>
  <si>
    <t>Infrastructure données mobiles</t>
  </si>
  <si>
    <t>Andrae 2019 (DOI: 10.13140/RG.2.2.25103.02724): 0.18 kWh/Go pour 2020 (Table 2, "present" scenario) (pour comparaison: ARCEP: 0.60 kWh/Go; Andrae and Edler 2015: 0.047-1.04 kWh/Go in 2020; Pihkola et al 2018: 0.46 kWh/Go en 2016)</t>
  </si>
  <si>
    <t>Moyennement linéaire (avec la quantité de données transférées) (en effet, il semble que la consommation d'électricité ne monte pas linéairement avec la demande en données)</t>
  </si>
  <si>
    <t>Modèle créé par Quantis d'après Schien et al. 2014 avec 0.052 Wh/MB. Note: Andrae and Edler 2015 suggère 0.065 Wh/Mo en 2020; Andrae (personal communication): 0.07 kWh/Go en 2020; ARCEP 0.5 W (https://www.arcep.fr/uploads/tx_gspublication/reseaux-du-futur-empreinte-carbone-numerique-juillet2019.pdf)</t>
  </si>
  <si>
    <t>Infrastructure système fibre</t>
  </si>
  <si>
    <t xml:space="preserve">L'impact "marginal" (de demander 1000 Mo additionels) est probablement plus bas puisque la consommation electrique du système ne semble pas être proportionelle à la quantité de données transférées </t>
  </si>
  <si>
    <t>10 x moins que la 4G</t>
  </si>
  <si>
    <t>0.6 kWh/Go (ARCEP); Andrae and Edler 2015: 0.047-1.04 kWh/GB in 2020; Pihkola et al 2018: 0.46 kWh/Go en 2016</t>
  </si>
  <si>
    <t>0.06 kWh/Go (basé sur ARCEP pour le 4G et Andrae and Edler 2015 disant que 5G 10x moins que la 4G) (ou 0.0047-1.04 Wh/MB in 2020 following Andrae and Edler 2015)</t>
  </si>
  <si>
    <t>Infrastructure système fibre; hypothèse de la quantité de données par jour</t>
  </si>
  <si>
    <r>
      <t xml:space="preserve">Lecture, journal international, </t>
    </r>
    <r>
      <rPr>
        <b/>
        <sz val="11"/>
        <color theme="1"/>
        <rFont val="Calibri (Corps)"/>
      </rPr>
      <t>ordinateur</t>
    </r>
    <r>
      <rPr>
        <b/>
        <sz val="11"/>
        <color theme="1"/>
        <rFont val="Calibri"/>
        <family val="2"/>
        <scheme val="minor"/>
      </rPr>
      <t>, lecture en ligne</t>
    </r>
  </si>
  <si>
    <t>Hypothesis: 1 server (for hosting) can handle 1'000'000 hours of video/yr (hypothesis: if we need one hosting server per 80'000 visits/month of 2 hours each = 160'000 hours of video/month = 1'920'000 hours/yr, rounded to 1'000'000 hours/yr to be safe side); Storage: one episode of i hr of is 10 Go and can be accessed simultaneously by the number of users of the server for hosting (which is max 1'000 pers/hour - implicitely means that one needs to store one 1 hr 10 Go episode for one year for 1000 users). The correction factor of 4 for redudancy and nbackup is not considered in this dataset (needs to be added in the dataset calling this dataset).</t>
  </si>
  <si>
    <t>Moyenne (Impact dominé par la quantité de données streamées (ADSL) et le temps passé sur l'ordinateur+wifi)</t>
  </si>
  <si>
    <t>Nombre de serveurs incertains + ADSL</t>
  </si>
  <si>
    <t>Presque linéaire (au temps passé car consommation dominé par temps ordi+wifi et quantité de données transférées - qui est moyennement proportionnelle à la consommation de l'ADSL)</t>
  </si>
  <si>
    <r>
      <t>Ordi+wifi (1h) + ADSL+Datacenter (données); Mesure Carbonalyzer par Quantis: 1200 Mo par heure (</t>
    </r>
    <r>
      <rPr>
        <sz val="11"/>
        <color theme="1"/>
        <rFont val="Calibri (Corps)"/>
      </rPr>
      <t>Stockage à long terme non compté car alloué au replay et non au streaming "live")</t>
    </r>
    <r>
      <rPr>
        <sz val="11"/>
        <color theme="1"/>
        <rFont val="Calibri"/>
        <family val="2"/>
        <scheme val="minor"/>
      </rPr>
      <t>. Serveur hébergement considéré pour satisfaire 1000 utilisations en même temps (mais que 1 h par jour). Pas de redondance et backup considéré car live.</t>
    </r>
  </si>
  <si>
    <t>Moyenne (Impact dominé par la quantité de données streamées (mobiles) et, deuxièment, le server)</t>
  </si>
  <si>
    <t>Presque linéaire (linéaire à la quantité de données nécessaire par le réseau mobile, et donc en partie au temps passé puisque la résolution sur le smartphone est variable)</t>
  </si>
  <si>
    <t>Ordi+wifi (1h) + ADSL (données); 1200 Mo en 1 h (measure Quantis, en HD, avec Carbonalyser); Data center (par utilisateur.heure de visionnage)</t>
  </si>
  <si>
    <t>Calcul de l'impact de Netflix:</t>
  </si>
  <si>
    <t>Ordi+wifi (1h) + ADSL (données); SD: 700 Mo pour 1 heure (hypothèse netflix, https://help.netflix.com/en/node/87); Data center (par utilisateur.heure de visionnage). Facteur 4 pris en compte pour redondance et backup.</t>
  </si>
  <si>
    <t>Serveurs incertains; Impact ADSL incertain</t>
  </si>
  <si>
    <t>Serveurs incertains; Impact ADSL incertain. Note: tests par Quantis: 250 Mo/h et 600 Mo/h pour une connection moyenne</t>
  </si>
  <si>
    <t>Ordi+wifi (1h) + ADSL (données); HD: 3000 Mo pour 1 heure (hypothèse netflix, https://help.netflix.com/en/node/87); Data center (par utilisateur.heure de visionnage). Facteur 4 pris en compte pour redondance et backup.</t>
  </si>
  <si>
    <t>Serveurs incertains; Impact ADSL incertain. Note: tests par Quantis: 85 Mo/h à 500 Mo/h en fonction de la résoliution</t>
  </si>
  <si>
    <t>Impact ordi, wifi, ADSL et data center équivalents. Impact proportionel à la quantité de données streamées et au temps de visionnage (les deux étant en partie liés)</t>
  </si>
  <si>
    <t>Impact ADSL domine, et ensuite ordi, wifi, et data center équivalents. Impact proportionel à la quantité de données streamées et au temps de visionnage (les deux étant en partie liés)</t>
  </si>
  <si>
    <t>EcranTV (1h) + (no wifi, connection direct au fil) ADSL (données); SD: 700 Mo pour 1 heure (hypothèse netflix, https://help.netflix.com/en/node/87); Data center (par utilisateur.heure de visionnage)</t>
  </si>
  <si>
    <t>EcranTV (1h) + (no wifi, connection direct au fil) ADSL (données); HD: 3000 Mo pour 1 heure (hypothèse netflix, https://help.netflix.com/en/node/87); Data center (par utilisateur.heure de visionnage)</t>
  </si>
  <si>
    <t>Video, streaming, laptop, fournisseur de films, HD, 1 h</t>
  </si>
  <si>
    <t>Video, streaming, laptop, fournisseur de films, SD, 1 h</t>
  </si>
  <si>
    <t>Video, streaming, ecran TV, fournisseur de films, HD, 1 h</t>
  </si>
  <si>
    <t>Video, streaming, ecran TV, fournisseur de films, SD, 1 h</t>
  </si>
  <si>
    <t>+/- facteur 2 (entièrement lié à comment on compte l'amortissement de la tablette)</t>
  </si>
  <si>
    <t>+/- facteur 5 (dominé par le transport en avion, et donc très sensible à l'hypothèse sur la logistique)</t>
  </si>
  <si>
    <t>+/- facteur 4</t>
  </si>
  <si>
    <t>+/- facteur 2 (surtout impact ADSL incertain, ainsi que data centers)</t>
  </si>
  <si>
    <t>+/- facteur 2 (en partie car la résolution Netflix (et donc la quantité de données transmises) peut varier d'un facteur 4, ainsi que la variabilité sur les autres postes, dont les data centers)</t>
  </si>
  <si>
    <t>+/- facteur 2 (en partie car la résolution youtube (et donc la quantité de données transmises) peut varier d'un facteur 4, ainsi que la variabilité sur les autres postes, dont les data centers)</t>
  </si>
  <si>
    <t>+/- facteur 10 (dominé par le transport en avion, et donc très sensible à l'hypothèse sur la logistique)</t>
  </si>
  <si>
    <t>consommation domine l'impact (env. 80%)</t>
  </si>
  <si>
    <t>Consommation 100 W (hypothèse; variabilité entre 60 W et 400 W), masse de 10 kg (hypothèse). 7300 h d'utilisation (hypothèse)</t>
  </si>
  <si>
    <t>Impact Ecran TV domine, ensuite ADSL domine, et ensuite data center. Impact proportionel au temps de visionnage principalement</t>
  </si>
  <si>
    <t>Impact ADSL domine, ensuite ecran TV, ensuite data center. Impact proportionel au temps de visionnage principalement</t>
  </si>
  <si>
    <t>MWh/y</t>
  </si>
  <si>
    <t>Source: https://media.netflix.com/en/company-blog/renewable-energy-at-netflix-an-update</t>
  </si>
  <si>
    <t xml:space="preserve">Direct and indirect electricity of Netflix (offices, servers, etc. - for 2016): </t>
  </si>
  <si>
    <t>Netflix use (2016)</t>
  </si>
  <si>
    <t>hours streamed per day</t>
  </si>
  <si>
    <t>Electricity use (for Netflix service (offices and datacenters)) (for 2016):</t>
  </si>
  <si>
    <t>Wh/hour streamed</t>
  </si>
  <si>
    <t>= about 1.4 gCO2e (electricity) = about 2 gCO2e (electricity + infrastructure)</t>
  </si>
  <si>
    <t>Netflix claims (https://media.netflix.com/en/company-blog/renewable-energy-at-netflix-an-update) to have divided by 2 the impact per data streamed between 2015 and 2016</t>
  </si>
  <si>
    <t>If we extrapolate to 2020, this would mean a reduction of electriciyt consumption per data by a factor 16! However, there is a high chance that the amount of data streamd per hour of movie hjas increased in the same time. So we don't know where exactly the 2020 value is as compared to the 3.1 Wh/hour in 2016.</t>
  </si>
  <si>
    <t>In our current model, we estimated the carbon footprint of datacenters associated with one hour streamed to be 10 gCO2e. So we can say that it seems we are on the "safe side".</t>
  </si>
  <si>
    <t>Linéaire (avec les données untilisées et donc le temps de visionnage)</t>
  </si>
  <si>
    <t>Impact proportionel à la quantité de données transmises par données mobiles; ATTENTION: La difference est principalement liée à la qualité de la vidéo (en faisant l'hypothèse que le téléjournal est en meilleure qualité)</t>
  </si>
  <si>
    <t>Serveurs incertains (mais ne dominent pas l'impact); Données mobiles variables</t>
  </si>
  <si>
    <r>
      <t xml:space="preserve">Video, </t>
    </r>
    <r>
      <rPr>
        <b/>
        <sz val="11"/>
        <color theme="1"/>
        <rFont val="Calibri (Corps)"/>
      </rPr>
      <t xml:space="preserve">live, </t>
    </r>
    <r>
      <rPr>
        <b/>
        <sz val="11"/>
        <color theme="1"/>
        <rFont val="Calibri"/>
        <family val="2"/>
        <scheme val="minor"/>
      </rPr>
      <t>smartphone, téléjournal, SD, 1 h</t>
    </r>
  </si>
  <si>
    <r>
      <t xml:space="preserve">Video, </t>
    </r>
    <r>
      <rPr>
        <b/>
        <sz val="11"/>
        <color theme="1"/>
        <rFont val="Calibri (Corps)"/>
      </rPr>
      <t>live</t>
    </r>
    <r>
      <rPr>
        <b/>
        <sz val="11"/>
        <color theme="1"/>
        <rFont val="Calibri"/>
        <family val="2"/>
        <scheme val="minor"/>
      </rPr>
      <t>, laptop, téléjournal, HD, 1 h</t>
    </r>
  </si>
  <si>
    <t>Video, streaming (replay), laptop, téléjournal, HD, 1 h</t>
  </si>
  <si>
    <t>Video, streaming, laptop, youtube, LD, 1 h</t>
  </si>
  <si>
    <t>Video, streaming, smartphone, LD, 1 h</t>
  </si>
  <si>
    <t>Ordi+wifi (1h) + ADSL (données); 200 Mo/h (hypothèse). Note: 85 Mo/h en 144p, 180 Mo/h en 480p, 500 Mo/h en 1080p (HD) (measures Quantis avec Carbonalyser). Data center (par utilisateur.heure de visionnage). Facteur 4 pris en compte pour redondance et backup.</t>
  </si>
  <si>
    <t>Smartphone (1h); Données mobiles; Hypothèse: 200 Mo/h; Data center pour un service de video</t>
  </si>
  <si>
    <t>Smartphone (1h); données mobiles; Hypothèse: 700 Mo/h; Data center pour 700 Mo/h (Stockage à long terme non compté car alloué au replay et non au streaming "live"). Serveur hébergement considéré pour satisfaire 1000 utilisations en même temps (mais que 1 h par jour).  Pas de redondance et backup considéré car live.</t>
  </si>
  <si>
    <t>Impact écran (ici 100 W) et ADSL (ici 1 Go/h) equivalents</t>
  </si>
  <si>
    <t>Presque linéaire (avec le temps de visonnage)</t>
  </si>
  <si>
    <t>Transmission des données approximée avec l'ADSL; (Fournisseur de l'emission)</t>
  </si>
  <si>
    <t>Video, live, réseau TV, 1 h</t>
  </si>
  <si>
    <t>Recherche, moteur de recherche, laptop, 100 recherches, 1 h</t>
  </si>
  <si>
    <t>Mesure Quantis (carbonalyzer) : Avec Google: 5 min/10 recherches; 70 Mo/10 recherches; 75 Mo/10 recherches (avec click sur le lien); 37 Mo/10 recherches (sans click sur le lien); Avec Ecosia: 5 min/10 recherches; 20 Mo/10 recherches; 75 Mo/10 recherches (avec click sur le lien); 25 Mo/10 recherches (sans click sur le lien) --&gt; Recherche sans le click 400 Mo / 100 recherches et environ 1 heure.
Ordi+Wifi (temps) + ADSL+Datacenter (data). Facteur 4 pour redondance (x2) et backup (x2) pris en compte.</t>
  </si>
  <si>
    <t>Impact ordi+wifi et transmission de données similaires; Impact serveurs plus bas (mais incertains)</t>
  </si>
  <si>
    <t>Presque linéaire (avec temps et données et donc au nombre de recherches)</t>
  </si>
  <si>
    <t>5 min (ordi+wifi) + 20 Mo (ADSL+Datacenter) (mesure Quantis). Facteur 4 pour redondance (x2) et backup (x2) pris en compte</t>
  </si>
  <si>
    <t>Impact ordi, wifi et ADSL équivalents, site web semble plus bas (mais incertain)</t>
  </si>
  <si>
    <t>Linéaire (au temps et données transmises, donc au nombre de paiement)</t>
  </si>
  <si>
    <t xml:space="preserve">Modélisation du site web bancaire incertaine. </t>
  </si>
  <si>
    <t>Smartphone (1 h); Données mobiles; Hypothèse: 100 Mo/h pour le streaming de musique; Data center par heure.utilisateur (potentiellement surestimé car data center pour video)</t>
  </si>
  <si>
    <t>Modélisation des serveurs incertaine (mais probablement surestimée car approximée avec des serveurs pour videos)</t>
  </si>
  <si>
    <t>Presque linéaire (avec le temps d'écoute et la quantité de données (et donc le temps d'écoute))</t>
  </si>
  <si>
    <t>Linéaire (avec le temps d'écoute)</t>
  </si>
  <si>
    <t>Impact dominé par le temps d'utilisation de l'ordi et wifi, et ensuite ADSL et serveurs. Le "live" a moins d'impact que le "replay" car on alloue le stockage de l'info sur les serveurs au replay</t>
  </si>
  <si>
    <t>Ordi+Wifi (1h) + ADSL 90 Mo/h (mesure Quantis RTS couleur 3, avec Carbonalyser, mesures semblent plus bas que 90 Mo/h mais à confirmer); Data center aapproximé avec ceux pour la video (par h de visonnage.utilisateur)</t>
  </si>
  <si>
    <t>Impact dominé par le temps d'utilisation de l'ordi et wifi, et des serveurs (mais approximés avec ceux pour la video, donc probablement surévalués), et ensuite ADSL. Le "live" a moins d'impact que le "replay" car on alloue le stockage de l'info sur les serveurs au replay</t>
  </si>
  <si>
    <t>Ordi+Wifi (1h) + ADSL 90 Mo/h (mesure Quantis RTS couleur 3, avec Carbonalyser). (Stockage à long terme non compté car alloué au replay et non au streaming "live"). Serveur hébergement considéré pour satisfaire 80'000 visites/mois. Pas de redondance et backup considéré car live.</t>
  </si>
  <si>
    <t>Pas vraiment linéaire (plus on écoute le même CD et/ou plus on utilise son CD player, moins il y a d'impact par heure d'écoute; pour une très grande écoute, on arrive à 4 g CO2e/h)</t>
  </si>
  <si>
    <t>Actions supprimées:</t>
  </si>
  <si>
    <t>Cigarette: Considérée comme non pertinente pour la comparaison</t>
  </si>
  <si>
    <t>Impact dominé par la fabrication des chaussures</t>
  </si>
  <si>
    <t>Impact dominé par la fabrication des chaussures. Hypothèse que les 2 paires en trop sont détruites! Et hypothèse qu'il n'y a pas besoin d'avion (hypothèse discutable).</t>
  </si>
  <si>
    <t>Impact dominé par la fabrication des chaussures. Hypothèse qu'il n'y a pas besoin d'avion (hypothèse discutable).</t>
  </si>
  <si>
    <t>Impact dominé par la consommation électrique des serveurs pour l'hébergement</t>
  </si>
  <si>
    <t>visite</t>
  </si>
  <si>
    <t>Hypothesis: Hosting: 1 server can handle 80'000 visits/month and one needs a website able to handle 1'000'000 visits/month = 12'000'000 visits/yr; Storage: Website size of 40 To (hypothesis). The correction factor of 4 for redudancy (x2) and backup (x2) is applied.</t>
  </si>
  <si>
    <t>Modèle OEFSR Retail (production et fin de vie d'une paire de chaussures); Distribution (transport total usine-magasin, centre de distribution, livraison) basée sur PEF method 2019  (1 kg total, 10 L volume); hypothèse d'un achat de 20 minutes (Ordi+wifi) et 100 Mo (ADSL) et site web (1 visite)</t>
  </si>
  <si>
    <t>Bonne (pour autant qu'il soit confirmé que les chaussures ne sont pas transportées en avion)</t>
  </si>
  <si>
    <t>+/- 50% (pour autant qu'il soit confirmé que les chaussures ne sont pas transportées en avion)</t>
  </si>
  <si>
    <t xml:space="preserve">Modèle OEFSR Retail (production et fin de vie d'une paire de chaussures); Distribution (transport total usine-magasin, centre de distribution, livraison) basée sur PEF method 2019  (1 kg total, 10 L volume); hypothèse d'un achat de 20 minutes (Ordi+wifi) et 100 Mo (ADSL) et site web (une visite) par paire; trois fois. </t>
  </si>
  <si>
    <t>Modélisation des chaussures</t>
  </si>
  <si>
    <r>
      <t xml:space="preserve">Modélisation des chaussures. Modélisation du site web incertaine (mais très faible); Distribution incertaine (y aurait-il de l'avion?); </t>
    </r>
    <r>
      <rPr>
        <b/>
        <sz val="11"/>
        <color theme="1"/>
        <rFont val="Calibri (Corps)"/>
      </rPr>
      <t>Devenir des paires renvoyées</t>
    </r>
  </si>
  <si>
    <t>Modélisation des chaussures. Modélisation du site web incertaine (mais très faible); Distribution incertaine (y aurait-il de l'avion?)</t>
  </si>
  <si>
    <t>Pizza: Considérée comme non pertinente dans le contexte actuel (il y a l'action de l'achat des chaussures dans la même idée pour les comparaisons)</t>
  </si>
  <si>
    <t>Impact dominé par la consommation des serveurs pour l'hébergement puis pour le stockage (4.2 serveurs hébergement pour 1 serveur stockage). serveur hébergement = 1700 kWh/an *1.8 (PUE); serveur stockage (40 To) = 3200 kWh/an * 1.8 (PUE)</t>
  </si>
  <si>
    <t>Hypothesis: Online storage consideres a storage of 10 Go per user which is accessed 1'000 times per year. So for a server able to store 40 To and therefore the need for 4'000 users, one needs 4'000 * 1000 access per y = 4'000'000 access per year. Considering that 1 hosting server can manage 80'000 acccess/mnonth, one needs 4.2 hosting servers to manage 4'000'000 access per year which go with one server storing 40 To. A factor 4 is applied to account for redundancy (x2) and backup (x2).</t>
  </si>
  <si>
    <t>Moyenne (impact dominé par la consommation de l'ordi et du relais wifi à la maison, fonction du temps de rédaction, ainsi que le stockage de l'email (et donc sa taille))</t>
  </si>
  <si>
    <t>+/- facteur 3</t>
  </si>
  <si>
    <t>Pièce jointe 1 Mo, poids de l'email sans pièce jointe environ 50 ko, un seul destinataire. Hypothèse de rédaction sur ordinateur, 5 minutes de rédaction et 2 minute de lecture. Ordi+Wifi (temps) et ADSL (taille). Email stocké sur un serveur pendant 5 ans</t>
  </si>
  <si>
    <t>Linéaire (avec le nombre d'emails et la taille - car avec le temps de rédation et la taille de l'email)</t>
  </si>
  <si>
    <t>Linéaire (avec le temps de rédation et la taille de l'email)</t>
  </si>
  <si>
    <t>Moyenne (impact dominé par la consommation de l'ordi et du relais wifi à la maison, fonction du temps de rédaction et donc du nombre d'emails, ainsi que le stockage des emails (et donc leur taille et donc leur nombre))</t>
  </si>
  <si>
    <t>Poids emails : 90% des emails sont à 50 ko - 10% des emails sont à 5 Mo; Hypothèse : 5 minutes de rédaction et 2 minutes de lecture sur ordinateur par mail. Ordi+wifi (temps), ADSL (taille). 5 ans de stockage sur le cloud; Taille logo : 12 ko</t>
  </si>
  <si>
    <t>Poids emails : 90% des emails sont à 50 ko - 10% des emails sont à 5 Mo; Hypothèse : 5 minutes de rédaction et 2 minutes de lecture sur ordinateur par mail. Ordi+wifi (temps), ADSL (taille). 5 ans de stockage sur le cloud.</t>
  </si>
  <si>
    <t>Appel, telephone portable, 1 h</t>
  </si>
  <si>
    <t>Appel, telephone portable, whatsapp, 1 h</t>
  </si>
  <si>
    <t>Appel, telephone fixe, 1 h</t>
  </si>
  <si>
    <t>2 personnes se parlent,  Hypothèse: 100 kbps** pour 1 h (une fois pour les deux personnes) par données mobiles; une fois Datacenter **source https://support.skype.com/en/faq/FA1417/how-much-bandwidth-does-skype-need?q=bandwidth</t>
  </si>
  <si>
    <t>Modélisation du service pour les téléphones fixes</t>
  </si>
  <si>
    <t>Impact dominé par l'amortissement du téléphone (et donc 1 heure de plus ne va pas "raccourcir" la durée de vie du téléphone de 1 heure). ATTENTION: Ne pas comparer "Appel, telephone fixe" avec "Appel, telephone portable" car basés sur la même modélisation</t>
  </si>
  <si>
    <t>Moyennement linéaire (seule une partie de l'impact double avec le doublement du temps)</t>
  </si>
  <si>
    <t>Presque linéaire (impacts liés à la quantitié de données transmises et, en partie, à l'utilisation du téléphone)</t>
  </si>
  <si>
    <t>Impact dominé par la quantité de données transmises ainsi qu'à l'amortissement du téléphone (qui lui de double pas avec un doublement du temps de téléphone)</t>
  </si>
  <si>
    <t>Presque linéaire (avec la taille des messages et le temps d'écoute)</t>
  </si>
  <si>
    <t xml:space="preserve">Impact dominé par la transmission de données (et donc la taille/longeur des messages) et par l'amortissement du téléphone </t>
  </si>
  <si>
    <t>Différence avec et sans émojis pour les messages</t>
  </si>
  <si>
    <t>Message texte, en ligne, 1 message</t>
  </si>
  <si>
    <t>tranmission données mobiles; taille d'un message : 40 caractères, caractères à 7 bits = 7/8 octet/caractère -&gt; 35 octets/message; Hypothèse de 2 minutes par message par utilisateur (lecture et rédaction); 2 utilisateurs; Datacenter</t>
  </si>
  <si>
    <t>Impact dominé par l'utilisation du smartphone, qui est dominé par l'amortissement du smartphone</t>
  </si>
  <si>
    <t>Moyennement linéaire (impact dominé par l'amortissement du smartphon - qui lui ne double pas avec un doublement du temps d'utilisation)</t>
  </si>
  <si>
    <t>Sans vidéo, ça reste l'utilisation de l'ordinateur qui domine l'impact.</t>
  </si>
  <si>
    <t>Note: UVEK dataset pour videoconference donne 48 gCO2e/h/participant avec du mix CH --&gt; donc avec du mix ENTSO on aurait environ 80-90 gCO2e/h/participant, ce qui donne environ 160-180 gCOe/h pour 2 personnes, ce qui le double de nos résultats.</t>
  </si>
  <si>
    <t>Différence FM et DAB+ pour la radio</t>
  </si>
  <si>
    <t>Impact dominé par la consommation de la radio (robuste), la fabrication de la radio (incertaine), et ensuite par la transmission de l'information (très incertaine)</t>
  </si>
  <si>
    <t>Diffusion; (fabrication de la radio)</t>
  </si>
  <si>
    <t>Impact dominé par l'utilisation de l'ordinateur, et ensuite l'amortissement de l'ordi et du CD de manière equivalente</t>
  </si>
  <si>
    <t>Poids d'un jeu vidéo 40 Go, téléchargé et supposé stocké en mémoire locale; On suppose que le joueur jouera 220 heures (statistique jeuxvideos.com); Ordi (1 h), Wifi+ADSL (40 Go pour 220 heures de jeu); Stockage cloud pour 4 ans et 1000 utilisateurs (hypothèse)</t>
  </si>
  <si>
    <t>Seulement moitié de l'impact est fonction de l'heure de jeu; plus on joue au même jeu, moins il y a d'impact par heure</t>
  </si>
  <si>
    <t>Impact ADSL incertain; (Utilisation des serveurs incertaine)</t>
  </si>
  <si>
    <t>Poids d'un jeu vidéo 40 Go, téléchargé et supposé stocké en mémoire locale; On suppose que le joueur jouera 220 heures (statistique jeuxvideos.com); hypothèse de transmission de 2000 Mo par heure de jeu; Ordi (1 h), Wifi+ADSL (40 Go pour 220 heures de jeu), Wifi+ADSL (1 h pour 1 h de jeu); Stockage cloud pour 4 ans et 1000 utilisateurs (hypothèse). Impact par joueur</t>
  </si>
  <si>
    <t>Impact ADSL incertain; Quantitié de données transmises incertaine; (Utilisation des serveurs incertaine)</t>
  </si>
  <si>
    <t>Impact en fonction de la quantité de données streamées (+ utilisation de l'ordi et wifi). Ici nous supposons de l'ADSL. Mais il y a de forte chance que la personne utilise de la fibre pour une telle quantité de données, et donc que l'impact d'une heure de jeu en ligne soit plus faible que modélisé ici</t>
  </si>
  <si>
    <t>Impact ADSL incertain; (Utilisation des serveurs incertaine); (module réalité virtuelle)</t>
  </si>
  <si>
    <t xml:space="preserve">Presque linéaire </t>
  </si>
  <si>
    <t>Seulement 2/3 de l'impact est fonction de l'heure de jeu; plus on joue au même jeu, moins il y a d'impact par heure</t>
  </si>
  <si>
    <t>Ordi+Wifi (1 h); Mesure Quantis avec Carbonalyser de twitch.tv (view): 60 Mo/min (ADSL + data traitées dans data center) + website (pour 1 visite de 1 h)</t>
  </si>
  <si>
    <t>Impact en fonction de la quantité de données streamées (qui est très grande). Ici nous supposons de l'ADSL. Mais il y a de forte chance que la personne utilise de la fibre pour une telle quantité de données, et donc que l'impact d'une heure de jeu en ligne soit plus faible que modélisé ici</t>
  </si>
  <si>
    <t>Carrot {NL}| carrot production | Cut-off, S</t>
  </si>
  <si>
    <t>Cattle for slaughtering, live weight {GLO}| market for | Cut-off, S</t>
  </si>
  <si>
    <t>Radio, television and communication equipment, EU27 S (from IO EU27)</t>
  </si>
  <si>
    <t>Source: "With over 100 million members around the world streaming more than 125 million hours of Netflix a day" (Source: https://media.netflix.com/en/company-blog/renewable-energy-at-netflix-an-update, for 2016)</t>
  </si>
  <si>
    <t>Retailer activity, excluding losses treatment (ambient product) S (from PEFCR Coffee Screening)</t>
  </si>
  <si>
    <t>Distribution centre activity S (from PEFCR Coffee Screening)</t>
  </si>
  <si>
    <t>Datasets construits:</t>
  </si>
  <si>
    <t>Local hard disk drive data storage during 1 year {FR}| Cut-off, S</t>
  </si>
  <si>
    <t>Impact dominated by use stage (2/3) and production (1/3). Données issues du modèle CLEER (cleermodel.lbl.gov). Smartphone, on mode: offline (3W), online (4.5W)</t>
  </si>
  <si>
    <t>iphone 5 (from Schien et al. 2014), production et fin de vie; Distribution basée sur PEF method 2019 (from Asia, avec packaging: masse = 500 g et volume = 1 L); durée de vie = 36000 heures; mémoire = 60 Go; Consommation: 4.5W (online mode) (note: offline mode would be 3W)</t>
  </si>
  <si>
    <t>iphone 5s, at plant/RER S</t>
  </si>
  <si>
    <t>Only manufacturing. Distribution, Use stage and End-of-life NOT INCLUED. Use stage: 3W offline, 4-5W online (CLEER model - cleermodel.lbl.gov)</t>
  </si>
  <si>
    <t>1 p = 1 cup of 120 ml coffee</t>
  </si>
  <si>
    <t>5.2 kg router, 2 years lifetime, 0.052 kWh/GB, bandwidth 36x1000 GBps</t>
  </si>
  <si>
    <t>iphone 5s, disposal, to WEEE treatment/CH S</t>
  </si>
  <si>
    <t>Data center, video, par h.utilisateur</t>
  </si>
  <si>
    <t>h.utilisateur</t>
  </si>
  <si>
    <t>Communication</t>
  </si>
  <si>
    <t>Loisirs</t>
  </si>
  <si>
    <t>Bureautique</t>
  </si>
  <si>
    <t>Data center (for hosting) rack server BC-1_Materials (for 1 server) {GLO}| market for | Cut-off, S</t>
  </si>
  <si>
    <t>Drip filter coffee life cycle S (from PEFCR Coffee Screening)</t>
  </si>
  <si>
    <t>Edge/metro/long haul transmission network, life cycle /FR (from Schien et al. 2014) S</t>
  </si>
  <si>
    <t>Leather shoes, packaged S (from OEFSR Retail)</t>
  </si>
  <si>
    <t>Leather shoes, product and packaging end-of-life S (from OEFSR Retail)</t>
  </si>
  <si>
    <t>Reproduction of tapes, disks, CD's, cassettes NL S (from IO NL DB)</t>
  </si>
  <si>
    <t>Data center, site web, par visite</t>
  </si>
  <si>
    <t>Message vocal, en ligne, whatsapp, 1 h</t>
  </si>
  <si>
    <t>Impact dominé par la transmission par données mobiles (donc incertitude sur les serveurs - qui sont probablement surestimés ici - est acceptable)</t>
  </si>
  <si>
    <t>Tablette basée sur l'iphone avec comme modifications: 2x plus lourde mais utilisée 6x moins (4h au lieu de 24h par hjour), donc 6000 heures. Consommation 5W (https://www.consoglobe.com/combien-coute-une-heure-ipad-tablette-cg). 
iphone based on. iphone 5 (from Schien et al. 2014) production et fin de vie; Distribution basée sur PEF method 2019 (from Asia, avec packaging: masse = 500 g et volume = 1 L); durée de vie = 36000 heures</t>
  </si>
  <si>
    <t>Impacts dominés par l'amortissement de la tablette (85%) et consommation électrique (155). Si on considère la tablette utilisée 24h par jour (comme le smartphone), alors les impacts de l'amortissement sont divisés par 6</t>
  </si>
  <si>
    <t>Trajet en train: Débat sur la marginalité des transports publics hors scope de ce travail sur le numérique</t>
  </si>
  <si>
    <t>Papier + impression: A4 : 201 x 297 mm, densité papier : 80 g/m2</t>
  </si>
  <si>
    <t>(Durée de vie de l'ordinateur sur laquelle amortir lutilisation)</t>
  </si>
  <si>
    <t>(Déforestation)</t>
  </si>
  <si>
    <t>Site web du journal</t>
  </si>
  <si>
    <t>Transport</t>
  </si>
  <si>
    <t>GB</t>
  </si>
  <si>
    <t>MB</t>
  </si>
  <si>
    <t>Lifetime = 4 years; Electricity consumption (1700 kWh/y per server * PUE of 1.8 = 3060 kWh/y per server) not included</t>
  </si>
  <si>
    <t>Lifetime = 6 years, storage = 40 To; Electricity consumption (3200 kWh/y * PUE of 1.8 = 5760 kWh/y) not included</t>
  </si>
  <si>
    <t>8 serveurs</t>
  </si>
  <si>
    <t>1 serveur</t>
  </si>
  <si>
    <t>m3-semaine</t>
  </si>
  <si>
    <t>un café</t>
  </si>
  <si>
    <t>un téléphone</t>
  </si>
  <si>
    <t>une paire</t>
  </si>
  <si>
    <t>USD</t>
  </si>
  <si>
    <t>Lifetime = 4 years. Electricity consumption (1700 kWh/h * PEU of 1.8 0 = 3060 kWh/h per server (i.e. 24'480 kWh/h for the 8 servers)) not included</t>
  </si>
  <si>
    <t>Lifetime = 4 years. Electricity consumption (1700 kWh/h * PEU of 1.8 = 3060 kWh/h per server) not included</t>
  </si>
  <si>
    <t>Lifetime 6 years, Size 40 TB. Electricity consumption (3200 kWh/h * PUE of 1.8 = 5760 kWh/y) not included</t>
  </si>
  <si>
    <t>1 p = 1 m3-week. Impacts below are given for one distribution centre during one year. A distribution centre can store 60’000 m3 of products (assuming 50% of 30’000 m2 building is dedicated to storage on 4 m high) during 52 weeks, i.e., 3'120’000 m3-weeks/year in total. It is assumed 20% of the area is chilled or frozen, i.e., 12'000 m3 or 624'000 m3-week/year. Therefore, for ambient storage, the capacity if of 2'496'000 m3-week/year. This storage capacity can be allocated knowing the following storage volumes and times (corresponding to assumptions): 
- For ambient products: consider 4 times the volume to be stored during four weeks 
- For chilled products: consider 3 times the volume to be stored during one week
- For frozen products: consider 2 times the volume to be stored during four weeks</t>
  </si>
  <si>
    <t>1 p = 1 m3-week. Impacts below are given for one supermarket during one year and are modelled according with PEF/OEF default data and assumptions draft document. A retail place can store 2’000 m3 of products (50% of 2’000 m2 building, storage on 2 m high) during 52 weeks, i.e., 104’000 m3-weeks/year in total. 60 m2 fridge and 60 m2 freezers (of 2 m high) is considered, therefore the capacity is 91'520 m3-week for ambient products and 6240 m3-week for chilled or 6240 m3-week for frozen products. 
This total storage capacity can be allocated per product knowing the following storage volumes and times (assumptions): 
- For ambient products: consider 4 times the volume to be stored during four weeks 
- For chilled products: consider 3 times the volume to be stored during two weeks 
- For frozen products: consider 2 times the volume to be stored during four weeks</t>
  </si>
  <si>
    <t>Puissance RTC : 2.1 W, source ARCEP (https://www.arcep.fr/uploads/tx_gspublication/reseaux-du-futur-empreinte-carbone-numerique-juillet2019.pdf)</t>
  </si>
  <si>
    <t>5-20</t>
  </si>
  <si>
    <t>20-40</t>
  </si>
  <si>
    <t>40-100</t>
  </si>
  <si>
    <t>5-15</t>
  </si>
  <si>
    <t>8-10</t>
  </si>
  <si>
    <t>600000-900000</t>
  </si>
  <si>
    <t>9-16</t>
  </si>
  <si>
    <t>0.8-1.6</t>
  </si>
  <si>
    <t>600-1100</t>
  </si>
  <si>
    <t>2000000-3000000</t>
  </si>
  <si>
    <t>300000-700000</t>
  </si>
  <si>
    <t>70-160</t>
  </si>
  <si>
    <t>50-80</t>
  </si>
  <si>
    <t>60-120</t>
  </si>
  <si>
    <t>300-500</t>
  </si>
  <si>
    <t>100-200</t>
  </si>
  <si>
    <t>260-500</t>
  </si>
  <si>
    <t>2-7</t>
  </si>
  <si>
    <t>30-100</t>
  </si>
  <si>
    <t>30-90</t>
  </si>
  <si>
    <t>10000-35000</t>
  </si>
  <si>
    <t>30000-100000</t>
  </si>
  <si>
    <t>10000-30000</t>
  </si>
  <si>
    <t>25-75</t>
  </si>
  <si>
    <t>4-12</t>
  </si>
  <si>
    <t>10-40</t>
  </si>
  <si>
    <t>20-70</t>
  </si>
  <si>
    <t>30-80</t>
  </si>
  <si>
    <t>60-180</t>
  </si>
  <si>
    <t>60-200</t>
  </si>
  <si>
    <t>140-400</t>
  </si>
  <si>
    <t>4000-15000</t>
  </si>
  <si>
    <t>40-180</t>
  </si>
  <si>
    <t>10-50</t>
  </si>
  <si>
    <t>500-2000</t>
  </si>
  <si>
    <t>13000-55000</t>
  </si>
  <si>
    <t>150-600</t>
  </si>
  <si>
    <t>4-17</t>
  </si>
  <si>
    <t>30-150</t>
  </si>
  <si>
    <t>125-500</t>
  </si>
  <si>
    <t>50-200</t>
  </si>
  <si>
    <t>30-130</t>
  </si>
  <si>
    <t>15-70</t>
  </si>
  <si>
    <t>800-12000</t>
  </si>
  <si>
    <t>600-10000</t>
  </si>
  <si>
    <t>500-10000</t>
  </si>
  <si>
    <t>0.008-0.010</t>
  </si>
  <si>
    <t>0.05-0.08</t>
  </si>
  <si>
    <t>550-800</t>
  </si>
  <si>
    <t>0.005-0.009</t>
  </si>
  <si>
    <t>0.01-0.02</t>
  </si>
  <si>
    <t>0.04-0.08</t>
  </si>
  <si>
    <t>0.001-0.002</t>
  </si>
  <si>
    <t>0.09-0.16</t>
  </si>
  <si>
    <t>0.07-0.13</t>
  </si>
  <si>
    <t>0.36-0.67</t>
  </si>
  <si>
    <t>3000-5500</t>
  </si>
  <si>
    <t>550-1000</t>
  </si>
  <si>
    <t>0.22-0.42</t>
  </si>
  <si>
    <t>0.05-0.12</t>
  </si>
  <si>
    <t>0.03-0.08</t>
  </si>
  <si>
    <t>0.002-0.005</t>
  </si>
  <si>
    <t>0.02-0.07</t>
  </si>
  <si>
    <t>0.02-0.06</t>
  </si>
  <si>
    <t>6-18</t>
  </si>
  <si>
    <t>15-50</t>
  </si>
  <si>
    <t>0.02-0.05</t>
  </si>
  <si>
    <t>0.003-0.008</t>
  </si>
  <si>
    <t>0.01-0.03</t>
  </si>
  <si>
    <t>0.05-0.14</t>
  </si>
  <si>
    <t>0.05-0.15</t>
  </si>
  <si>
    <t>0.12-0.36</t>
  </si>
  <si>
    <t>0.06-0.17</t>
  </si>
  <si>
    <t>0.004-0.016</t>
  </si>
  <si>
    <t>3-11</t>
  </si>
  <si>
    <t>0.04-0.18</t>
  </si>
  <si>
    <t>0.01-0.05</t>
  </si>
  <si>
    <t>0.12-0.50</t>
  </si>
  <si>
    <t>7-30</t>
  </si>
  <si>
    <t>0.08-0.32</t>
  </si>
  <si>
    <t>0.005-0.020</t>
  </si>
  <si>
    <t>0.03-0.15</t>
  </si>
  <si>
    <t>0.1-0.4</t>
  </si>
  <si>
    <t>0.04-0.15</t>
  </si>
  <si>
    <t>0.02-0.10</t>
  </si>
  <si>
    <t>0.015-0.060</t>
  </si>
  <si>
    <t>0.5-15</t>
  </si>
  <si>
    <t>0.5-10</t>
  </si>
  <si>
    <t>0.6-12</t>
  </si>
  <si>
    <t>min</t>
  </si>
  <si>
    <t>max</t>
  </si>
  <si>
    <t>0.006-0.017</t>
  </si>
  <si>
    <t>0.01-0.04</t>
  </si>
  <si>
    <t>0.06-0.18</t>
  </si>
  <si>
    <t>0.007-0.027</t>
  </si>
  <si>
    <t>0.005-0.018</t>
  </si>
  <si>
    <t>0.0001-0.0005</t>
  </si>
  <si>
    <t>0.006-0.025</t>
  </si>
  <si>
    <t>0.07-0.30</t>
  </si>
  <si>
    <t>0.08-0.70</t>
  </si>
  <si>
    <t>0.1-1</t>
  </si>
  <si>
    <t>0.01-0.1</t>
  </si>
  <si>
    <t>0.01-0.2</t>
  </si>
  <si>
    <t>0.14-14</t>
  </si>
  <si>
    <t>7-21</t>
  </si>
  <si>
    <t>20-50</t>
  </si>
  <si>
    <t>20-60</t>
  </si>
  <si>
    <t>7-27</t>
  </si>
  <si>
    <t>6-24</t>
  </si>
  <si>
    <t>0.1-0.7</t>
  </si>
  <si>
    <t>10-30</t>
  </si>
  <si>
    <t>90-360</t>
  </si>
  <si>
    <t>100-800</t>
  </si>
  <si>
    <t>100-1000</t>
  </si>
  <si>
    <t>10-100</t>
  </si>
  <si>
    <t>10-250</t>
  </si>
  <si>
    <t>100-10000</t>
  </si>
  <si>
    <t>Liste de gestes (appelés "actions") du quotidien évalués - Version PUBLIABLE avec mention "non comparable"</t>
  </si>
  <si>
    <t>Liste de gestes (appelés "actions") du quotidien évalués - Pour information mais à éviter de comparer à des gestes similaires</t>
  </si>
  <si>
    <t>Liste de gestes (appelés "actions") du quotidien évalués - Version PUBLIABLE</t>
  </si>
  <si>
    <t>Fehlerabweichung CO2</t>
  </si>
  <si>
    <t>co2 in g</t>
  </si>
  <si>
    <t>CO2 en g</t>
  </si>
  <si>
    <t>Autres infos utiles:</t>
  </si>
  <si>
    <t>Energie pour recharger un smartphone: 15 Wh (Source: Carbonalyzer)</t>
  </si>
  <si>
    <t>Flat screen SAMSING 66 cm: 53 W</t>
  </si>
  <si>
    <t>Skype enterprise: 100 Mo/h (sent+recieved)</t>
  </si>
  <si>
    <t>On pourrait considérer que beaucoup de gens laissent le wifi branché toute la journée mais ceci que pour une utilisation de, par exemple, 12 heures par jour en moyenne et donc que pour chaque heure utilisée on peut allouer l'autre heure inutilisée: ceci doublerait l'impact du wifi par heure d'utilisation effective pour les gens n'éteignant pas leur wifi quand il est inutilisé (p.ex. nuit ou vacances). Pour le wifi: l'impact est uniquement pour la partie "wifi, relais à la maison", et cet impact doit donc être ajouté à la technologie utilisée pour amener lées données à éla maison (p.ex fibre ou ADSL).</t>
  </si>
  <si>
    <t>Valable pour un "wifi" maison" utilisé à pleine puissance. Pour le wifi: l'impact est uniquement pour la partie "wifi, relais à la maison", et cet impact doit donc être ajouté à la technologie utilisée pour amener lées données à éla maison (p.ex fibre ou ADSL).</t>
  </si>
  <si>
    <t>Limites pour rester durable:</t>
  </si>
  <si>
    <t>Empreinte carbone:</t>
  </si>
  <si>
    <t>Empreinte carbone moyenne Suisse actuelle: 14'000 kg CO2e/personne/an (Source: BAFU, https://www.bafu.admin.ch/bafu/fr/home/themes/climat/en-bref.html#-1333200555)</t>
  </si>
  <si>
    <t>Empreinte carbone moyenne Suisse pour être durable: 600 kg CO2e/personne/an (Source: BAFU, https://www.bafu.admin.ch/bafu/fr/home/themes/climat/en-bref.html#-1333200555)</t>
  </si>
  <si>
    <t>Ecoscore:</t>
  </si>
  <si>
    <t>Ecoscore moyen Suisse actuelle: 23.4E+6 UBP/personne/an (Source: BAFU; with import-export; https://www.bafu.admin.ch/bafu/fr/home/themes/economie-consommation/publications-etudes/publications/empreintes-environnementales-de-la-suisse.html)</t>
  </si>
  <si>
    <t>Ecoscore moyen Suisse pour être durable: 7.8E+6 UBP/personne/an (Source: BAFU; with import-export; https://www.bafu.admin.ch/bafu/fr/home/themes/economie-consommation/publications-etudes/publications/empreintes-environnementales-de-la-suisse.html)</t>
  </si>
  <si>
    <t>460 UBP per gram CO2-equivalent (Source: swiss_eco-factors2013accordingtotheecologicalscarcitymethod.pdf &amp; Simapro Methods)</t>
  </si>
  <si>
    <t>Ecoscore (UCE)</t>
  </si>
  <si>
    <t>Fehlerabweichung UCE</t>
  </si>
  <si>
    <t>Min UCE</t>
  </si>
  <si>
    <t>Max UCE</t>
  </si>
  <si>
    <t>Footprint calculator</t>
  </si>
  <si>
    <t>Suites potentielles:</t>
  </si>
  <si>
    <t>·       https://www.bafu.admin.ch/bafu/fr/home/themes/economie-consommation/publications-etudes/publications/empreintes-environnementales-de-la-suisse.html</t>
  </si>
  <si>
    <t>·       https://www.bfs.admin.ch/bfs/fr/home/statistiques/developpement-durable/autres-indicateurs-developpement-durable/empreinte-ecologique.html</t>
  </si>
  <si>
    <t>L'impact actuel et les limites pour être durable, pour la Suisse, sont les suivants:</t>
  </si>
  <si>
    <t>UCE limite par personne et par année (pour être durable)</t>
  </si>
  <si>
    <t>UCE limite par personne et par jour (pour être durable)</t>
  </si>
  <si>
    <t>kg CO2e limite par personne et par année (pour être durable)</t>
  </si>
  <si>
    <t>kg CO2e par personne et par jour (2015)</t>
  </si>
  <si>
    <t>UCE par personne et par jour (2015)</t>
  </si>
  <si>
    <t>UCE par personne et par année (2015)</t>
  </si>
  <si>
    <t>kg CO2e par personne et par année (2015)</t>
  </si>
  <si>
    <t>kg CO2e limite par personne et par jour (pour être durable)</t>
  </si>
  <si>
    <t>Prenons pour exemple un ménage de 4 personnes regardant un film Netflix (de 2 h, en SD, sur l'écran TV):</t>
  </si>
  <si>
    <t>Impact du film:</t>
  </si>
  <si>
    <t>car 4 personnes</t>
  </si>
  <si>
    <t>Le film represente donc:</t>
  </si>
  <si>
    <t>de l'impact quotidien du ménage, aux conditions actuelles</t>
  </si>
  <si>
    <t>de l'impact quotidien du ménage, s'il voulait rester dans les limites de la duabilité</t>
  </si>
  <si>
    <t>Cet exemple illustre une manière d'interpréter les résultats.</t>
  </si>
  <si>
    <t>Exemple d'interprétation des résultats (vis-à-vis de la contrainte pour être durable):</t>
  </si>
  <si>
    <t>car 2 heures de film avec un impact de 0.113 kg CO2e/h ou 119 UCE/h (voir résultats par action)</t>
  </si>
  <si>
    <t>Impact total du ménage (actuel), par jour</t>
  </si>
  <si>
    <t>Limite, totale, du ménage (pour être durable), par jour</t>
  </si>
  <si>
    <t>Il est à noter que d'ici 2050, lorsque l'on devrait idealement être durable, le mix électrique moyen aura un impact plus faible qu'actuellement, et donc que l'impact du film - étant dominé par de la consommation électrique - sera probablemment plus faible. On peut donc dire avec confiance que regarder un film en famille représente de l'ordre de 1% de l'impact du quotidien qu'un ménage "peut se permettre".</t>
  </si>
  <si>
    <t xml:space="preserve">Film 1 Std. </t>
  </si>
  <si>
    <t xml:space="preserve">Gain en UCE </t>
  </si>
  <si>
    <t>robuste</t>
  </si>
  <si>
    <t>non comparable</t>
  </si>
  <si>
    <t xml:space="preserve">Robuste ou non comparable </t>
  </si>
  <si>
    <t xml:space="preserve">Utiliser un smartphone 4 ans au lieu de 3 ans </t>
  </si>
  <si>
    <t xml:space="preserve">Eteindre WiFi (et mettre le laptop en standby) entre 24h et 6h </t>
  </si>
  <si>
    <t xml:space="preserve">Ecogestes pendant une année </t>
  </si>
  <si>
    <t xml:space="preserve">mit www.Mobitool.ch ausrechnen </t>
  </si>
  <si>
    <t xml:space="preserve">mit UVEK18 und Durchschnittskonsum pro Person berechnen </t>
  </si>
  <si>
    <t xml:space="preserve">Cloud service pour les photos d'un Rechenzentrum qui consomme peu d'énergie non renouvelable comparé avec un Rechenzentrum peu efficace qui consomme beaucoup d'énergie </t>
  </si>
  <si>
    <t xml:space="preserve">hier Durchschnittskonsum einsetzen (Schwein, Poulet, Rind etc.) </t>
  </si>
  <si>
    <t>1 jour</t>
  </si>
  <si>
    <t xml:space="preserve">par heure </t>
  </si>
  <si>
    <t xml:space="preserve">par seconde </t>
  </si>
  <si>
    <t>1 année</t>
  </si>
  <si>
    <t xml:space="preserve">UCE limite par personne et par année (pour respecter les limites planetaires) </t>
  </si>
  <si>
    <t xml:space="preserve">UCE limite par personne et par semaine (pour respecter les limites planetaires) </t>
  </si>
  <si>
    <t>UCE par personne et par semaine en 2015</t>
  </si>
  <si>
    <t>Mobitool</t>
  </si>
  <si>
    <t>Bahn Schweiz</t>
  </si>
  <si>
    <t>Strommix SBB</t>
  </si>
  <si>
    <t>Fernverkehr</t>
  </si>
  <si>
    <t>pkm</t>
  </si>
  <si>
    <t>Bahn Deutschland</t>
  </si>
  <si>
    <t>Strommix DE &amp; Diesel</t>
  </si>
  <si>
    <t>Durchschnitt Regional-&amp; Fernverkehr</t>
  </si>
  <si>
    <t>Hochgeschwindigkeitszug DE</t>
  </si>
  <si>
    <t>Hochgeschwindigkeitszug (ICE)</t>
  </si>
  <si>
    <t>innerhalb Europa, economy</t>
  </si>
  <si>
    <t>Flug Europa</t>
  </si>
  <si>
    <t>Economy</t>
  </si>
  <si>
    <t xml:space="preserve">mit www.Mobitool.ch ausrechnen (Annahme Bern-Zurich Ap + Zurich Ap.-Brüsssel  = 125 km + 527 km) </t>
  </si>
  <si>
    <t>Videoconference 1h</t>
  </si>
  <si>
    <t>Summe UBP</t>
  </si>
  <si>
    <t xml:space="preserve">Utiliser un laptop 7 ans au lieu de 6 ans </t>
  </si>
  <si>
    <t>Laptop computer, at plant/GLO S</t>
  </si>
  <si>
    <r>
      <t>Remplacer 2 réunions par mois par une vidéoconférance au lieu de se deplacer entre Lausanne et Berne (</t>
    </r>
    <r>
      <rPr>
        <sz val="11"/>
        <color theme="4"/>
        <rFont val="Calibri (Corps)"/>
      </rPr>
      <t>2x1</t>
    </r>
    <r>
      <rPr>
        <sz val="11"/>
        <color theme="1"/>
        <rFont val="Calibri"/>
        <family val="2"/>
        <scheme val="minor"/>
      </rPr>
      <t xml:space="preserve">00 km) en </t>
    </r>
    <r>
      <rPr>
        <sz val="11"/>
        <color theme="4"/>
        <rFont val="Calibri (Corps)"/>
      </rPr>
      <t>voiture</t>
    </r>
    <r>
      <rPr>
        <sz val="11"/>
        <color theme="1"/>
        <rFont val="Calibri"/>
        <family val="2"/>
        <scheme val="minor"/>
      </rPr>
      <t xml:space="preserve"> (1 personne se déplace et 1 sur place9</t>
    </r>
  </si>
  <si>
    <r>
      <t xml:space="preserve">Remplacer un voyage en avion à </t>
    </r>
    <r>
      <rPr>
        <sz val="11"/>
        <color theme="4"/>
        <rFont val="Calibri (Corps)"/>
      </rPr>
      <t>Berlin</t>
    </r>
    <r>
      <rPr>
        <sz val="11"/>
        <color theme="1"/>
        <rFont val="Calibri"/>
        <family val="2"/>
        <scheme val="minor"/>
      </rPr>
      <t xml:space="preserve"> par une vidéoconférence</t>
    </r>
    <r>
      <rPr>
        <sz val="11"/>
        <color theme="4"/>
        <rFont val="Calibri (Corps)"/>
      </rPr>
      <t xml:space="preserve"> (de 4 h, 1 personne se déplace, 1 sur place)</t>
    </r>
  </si>
  <si>
    <r>
      <t xml:space="preserve">Visualiser 100 films en low definition au lieu de high definition </t>
    </r>
    <r>
      <rPr>
        <sz val="11"/>
        <color theme="4"/>
        <rFont val="Calibri (Corps)"/>
      </rPr>
      <t>(sur laptop)</t>
    </r>
  </si>
  <si>
    <r>
      <rPr>
        <sz val="11"/>
        <color theme="1"/>
        <rFont val="Calibri (Corps)"/>
      </rPr>
      <t>Ordinateur</t>
    </r>
    <r>
      <rPr>
        <sz val="11"/>
        <color theme="1"/>
        <rFont val="Calibri"/>
        <family val="2"/>
        <scheme val="minor"/>
      </rPr>
      <t>, fabrication</t>
    </r>
  </si>
  <si>
    <t>pièce</t>
  </si>
  <si>
    <r>
      <t>Visualiser 100 films sur un petit écran (</t>
    </r>
    <r>
      <rPr>
        <sz val="11"/>
        <color theme="4"/>
        <rFont val="Calibri (Corps)"/>
      </rPr>
      <t xml:space="preserve">env. </t>
    </r>
    <r>
      <rPr>
        <sz val="11"/>
        <color theme="1"/>
        <rFont val="Calibri"/>
        <family val="2"/>
        <scheme val="minor"/>
      </rPr>
      <t>30 cm)</t>
    </r>
    <r>
      <rPr>
        <sz val="11"/>
        <color theme="4"/>
        <rFont val="Calibri (Corps)"/>
      </rPr>
      <t>, en SD,</t>
    </r>
    <r>
      <rPr>
        <sz val="11"/>
        <color theme="1"/>
        <rFont val="Calibri"/>
        <family val="2"/>
        <scheme val="minor"/>
      </rPr>
      <t xml:space="preserve"> au lieu d'un grand écran (</t>
    </r>
    <r>
      <rPr>
        <sz val="11"/>
        <color theme="4"/>
        <rFont val="Calibri (Corps)"/>
      </rPr>
      <t>env. 100</t>
    </r>
    <r>
      <rPr>
        <sz val="11"/>
        <color theme="1"/>
        <rFont val="Calibri"/>
        <family val="2"/>
        <scheme val="minor"/>
      </rPr>
      <t xml:space="preserve"> cm)</t>
    </r>
    <r>
      <rPr>
        <sz val="11"/>
        <color theme="4"/>
        <rFont val="Calibri (Corps)"/>
      </rPr>
      <t>, en HD</t>
    </r>
  </si>
  <si>
    <t>electricity, high voltage, production ENTSO, at grid/kWh/ENTSO U</t>
  </si>
  <si>
    <t>electricity, production mix photovoltaic, at plant/kWh/CH U</t>
  </si>
  <si>
    <t>kWh</t>
  </si>
  <si>
    <t>Electricité (moyenne)</t>
  </si>
  <si>
    <t>Electricité (PV)</t>
  </si>
  <si>
    <r>
      <t>Consommer uniquement du courant vert (</t>
    </r>
    <r>
      <rPr>
        <sz val="11"/>
        <color theme="4"/>
        <rFont val="Calibri (Corps)"/>
      </rPr>
      <t>10</t>
    </r>
    <r>
      <rPr>
        <sz val="11"/>
        <color theme="1"/>
        <rFont val="Calibri"/>
        <family val="2"/>
        <scheme val="minor"/>
      </rPr>
      <t xml:space="preserve">0% photovoltaique) dans le ménage </t>
    </r>
    <r>
      <rPr>
        <sz val="11"/>
        <color theme="4"/>
        <rFont val="Calibri (Corps)"/>
      </rPr>
      <t>(4000 kWh/an)</t>
    </r>
  </si>
  <si>
    <t>(Note de Seb: Je n'ai pas regardé ce qu'il y a cidessous et à droite)</t>
  </si>
  <si>
    <r>
      <t xml:space="preserve">Gain en </t>
    </r>
    <r>
      <rPr>
        <sz val="11"/>
        <color theme="4"/>
        <rFont val="Calibri (Corps)"/>
      </rPr>
      <t xml:space="preserve">kg </t>
    </r>
    <r>
      <rPr>
        <sz val="11"/>
        <color theme="1" tint="4.9989318521683403E-2"/>
        <rFont val="Calibri"/>
        <family val="2"/>
        <scheme val="minor"/>
      </rPr>
      <t xml:space="preserve">CO2 éq. </t>
    </r>
  </si>
  <si>
    <r>
      <t>Effacer 100</t>
    </r>
    <r>
      <rPr>
        <sz val="11"/>
        <color theme="4"/>
        <rFont val="Calibri (Corps)"/>
      </rPr>
      <t>0</t>
    </r>
    <r>
      <rPr>
        <sz val="11"/>
        <color theme="1"/>
        <rFont val="Calibri"/>
        <family val="2"/>
        <scheme val="minor"/>
      </rPr>
      <t xml:space="preserve"> E-mails </t>
    </r>
  </si>
  <si>
    <r>
      <t>Effacer 1000 photos stockés dans le cloud qui ne sont plus utiles</t>
    </r>
    <r>
      <rPr>
        <sz val="11"/>
        <color theme="4"/>
        <rFont val="Calibri (Corps)"/>
      </rPr>
      <t xml:space="preserve"> (stockage moyen de 5 ans)</t>
    </r>
  </si>
  <si>
    <r>
      <t>Stocker les 10'000 photos sur un disque dur au lieu de les stocker dans un cloud service</t>
    </r>
    <r>
      <rPr>
        <sz val="11"/>
        <color theme="4"/>
        <rFont val="Calibri (Corps)"/>
      </rPr>
      <t xml:space="preserve"> (stockage moyen de 5 ans)</t>
    </r>
  </si>
  <si>
    <r>
      <t>Manger 1 fois (12</t>
    </r>
    <r>
      <rPr>
        <sz val="11"/>
        <color theme="4"/>
        <rFont val="Calibri (Corps)"/>
      </rPr>
      <t>5</t>
    </r>
    <r>
      <rPr>
        <sz val="11"/>
        <color theme="1"/>
        <rFont val="Calibri"/>
        <family val="2"/>
        <scheme val="minor"/>
      </rPr>
      <t xml:space="preserve"> g) de la </t>
    </r>
    <r>
      <rPr>
        <sz val="11"/>
        <color theme="4"/>
        <rFont val="Calibri (Corps)"/>
      </rPr>
      <t>bonne</t>
    </r>
    <r>
      <rPr>
        <sz val="11"/>
        <color theme="1"/>
        <rFont val="Calibri"/>
        <family val="2"/>
        <scheme val="minor"/>
      </rPr>
      <t xml:space="preserve"> viande </t>
    </r>
    <r>
      <rPr>
        <sz val="11"/>
        <color theme="4"/>
        <rFont val="Calibri (Corps)"/>
      </rPr>
      <t xml:space="preserve">de bœuf </t>
    </r>
    <r>
      <rPr>
        <sz val="11"/>
        <color theme="1"/>
        <rFont val="Calibri"/>
        <family val="2"/>
        <scheme val="minor"/>
      </rPr>
      <t xml:space="preserve">par semaine au lieu de 2 fois </t>
    </r>
  </si>
  <si>
    <t>Boire 1 café au lieu de 2 par jour pendant 1 an</t>
  </si>
  <si>
    <r>
      <t xml:space="preserve">Aller 5 km au travail en vélo au lieu d'aller en voiture (200 jours) </t>
    </r>
    <r>
      <rPr>
        <sz val="11"/>
        <color theme="4"/>
        <rFont val="Calibri (Corps)"/>
      </rPr>
      <t xml:space="preserve">(10 km si aller-retour) </t>
    </r>
    <r>
      <rPr>
        <sz val="11"/>
        <color theme="1"/>
        <rFont val="Calibri"/>
        <family val="2"/>
        <scheme val="minor"/>
      </rPr>
      <t xml:space="preserve">/ ou travailler à la maison 200 jours au lieu d'aller travailler en voiture au bureau à 5 km (10 km si aller-retour) </t>
    </r>
  </si>
  <si>
    <r>
      <t>Acheter un paire de chauss</t>
    </r>
    <r>
      <rPr>
        <sz val="11"/>
        <color theme="4"/>
        <rFont val="Calibri (Corps)"/>
      </rPr>
      <t>u</t>
    </r>
    <r>
      <rPr>
        <sz val="11"/>
        <color theme="1"/>
        <rFont val="Calibri"/>
        <family val="2"/>
        <scheme val="minor"/>
      </rPr>
      <t xml:space="preserve">res de moins par an </t>
    </r>
    <r>
      <rPr>
        <sz val="11"/>
        <color theme="4"/>
        <rFont val="Calibri (Corps)"/>
      </rPr>
      <t>(en utilisant mieux les autres chaussures)</t>
    </r>
  </si>
  <si>
    <t>29 avril 2020</t>
  </si>
  <si>
    <t>Version 1.3</t>
  </si>
  <si>
    <t>Travail à la maison au lieu d'aller au bureau, 1 jour par semaine (économie 2 x 40 km/j pour 46 semaines/an)</t>
  </si>
  <si>
    <t xml:space="preserve">Gain en kg CO2 éq. </t>
  </si>
  <si>
    <t>Visualiser 100 films en low definition au lieu de high definition (sur laptop)</t>
  </si>
  <si>
    <t>Visualiser 100 films sur un petit écran (env. 30 cm), en SD, au lieu d'un grand écran (env. 100 cm), en HD</t>
  </si>
  <si>
    <t xml:space="preserve">Manger 1 fois (125 g) de la bonne viande de bœuf par semaine au lieu de 2 fois </t>
  </si>
  <si>
    <t>Acheter un paire de chaussures de moins par an (en achetant de la qualité et en utilisant mieux les autres chaussures)</t>
  </si>
  <si>
    <t>Remplacer un voyage d'une personne en avion à Berlin par une vidéoconférence de 4 heures</t>
  </si>
  <si>
    <t xml:space="preserve">Utiliser un laptop 5 ans au lieu de 4 ans </t>
  </si>
  <si>
    <t xml:space="preserve">KWh / ménage </t>
  </si>
  <si>
    <t>Aller au travail en vélo 200 jours au lieu d'aller en voiture (2x5km)</t>
  </si>
  <si>
    <t xml:space="preserve">Travailler à la maison 200 jours au lieu d'aller au travail en voiture à 5 km (2x5km) </t>
  </si>
  <si>
    <t xml:space="preserve">UBP die ein Laptop verursacht teilen durch duchschnittliche Lebensdauer. Die in der Studie Coolproducts angegebenen CO2-Emissionen scheinen mir sehr klein zu sein oder hat nicht jeder dritte Europäer einen Laptop und ein Smartphone? </t>
  </si>
  <si>
    <t xml:space="preserve">UBP die ein Smartphone verursacht teilen durch duchschnittliche Lebensdauer? Die in der Studie Coolproducts angegebenen CO2-Emissionen scheinen mir sehr klein zu sein oder hat nicht jeder dritte Europäer einen Laptop und ein Smartphone? </t>
  </si>
  <si>
    <t>Consommer uniquement du courant vert à la maison (100% photovoltaique, 1800 kWh/an/personne)</t>
  </si>
  <si>
    <t>Stocker les 5'000 photos sur un disque dur au lieu de les stocker dans un cloud service (stockage moyen de 5 ans)</t>
  </si>
  <si>
    <t xml:space="preserve">Population Suisse </t>
  </si>
  <si>
    <t xml:space="preserve">UBP par personne en 2015 </t>
  </si>
  <si>
    <t xml:space="preserve">Eteindre le WiFi (et mettre le laptop en standby) entre 24h et 6h </t>
  </si>
  <si>
    <t xml:space="preserve">Liste de toutes les gestes (appelés "actions") du quotidien évalués </t>
  </si>
  <si>
    <t xml:space="preserve">Dans quel cas cela rend la comparaison difficile? </t>
  </si>
  <si>
    <t xml:space="preserve">Je ne comprends pas </t>
  </si>
  <si>
    <r>
      <t xml:space="preserve">Lecture, journal international, </t>
    </r>
    <r>
      <rPr>
        <b/>
        <sz val="11"/>
        <color theme="1" tint="0.34998626667073579"/>
        <rFont val="Calibri (Corps)"/>
      </rPr>
      <t>ordinateur</t>
    </r>
    <r>
      <rPr>
        <b/>
        <sz val="11"/>
        <color theme="1" tint="0.34998626667073579"/>
        <rFont val="Calibri"/>
        <family val="2"/>
        <scheme val="minor"/>
      </rPr>
      <t>, lecture en ligne</t>
    </r>
  </si>
  <si>
    <t xml:space="preserve">Supprimer 10'000 E-mails stockés dans le  cloud </t>
  </si>
  <si>
    <t>Eliminer 20% de ses photos (1000 photos de mauvaise qualité ou redondantes par an) avant de les stocker sur un serveur cloud (stockage moyen de 5 ans)</t>
  </si>
  <si>
    <t>UCE par personne en 2015</t>
  </si>
  <si>
    <t>Remplacer 2 réunions par an par une vidéoconférance au lieu de se deplacer entre Lausanne et Berne (2x100 km) en voiture</t>
  </si>
  <si>
    <t xml:space="preserve">Ecogestes pendant une année (calculs) </t>
  </si>
  <si>
    <t>Unité pour la comparaison: 100km en voiture</t>
  </si>
  <si>
    <t>Unité pour la comparaison: 1 café</t>
  </si>
  <si>
    <t>Unité pour la comparaison: 1km en voiture</t>
  </si>
  <si>
    <t xml:space="preserve"> [nombre d'habitant équivalent] Réduction de l'impact environnemental si tout le monde en Suisse appliquera l'écogeste</t>
  </si>
  <si>
    <t>Unité pour la comparaison: 365 cafés</t>
  </si>
  <si>
    <t>Travail à la maison au lieu d'aller au bureau, 1 jour par semaine (économie 2 x 10 km/jour en voiture pour 46 semaines/an)</t>
  </si>
  <si>
    <t xml:space="preserve">Exemple de lecture: si tout le monde en Suisse efface 1000 E-mails par an stockés dans le cloud, l'on compensera l'impact environnemental d'environ 4000 habitants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</si>
</sst>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0.000"/>
    <numFmt numFmtId="165" formatCode="0.0E+00"/>
    <numFmt numFmtId="166" formatCode="0E+00"/>
    <numFmt numFmtId="167" formatCode="0.0000"/>
    <numFmt numFmtId="168" formatCode="0.0"/>
    <numFmt numFmtId="169" formatCode="0.0%"/>
  </numFmts>
  <fonts count="51">
    <font>
      <sz val="11"/>
      <color theme="1"/>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sz val="11"/>
      <color theme="1"/>
      <name val="Calibri (Corps)"/>
    </font>
    <font>
      <b/>
      <sz val="18"/>
      <color theme="1"/>
      <name val="Calibri"/>
      <family val="2"/>
      <scheme val="minor"/>
    </font>
    <font>
      <sz val="11"/>
      <color theme="1"/>
      <name val="Arial"/>
      <family val="2"/>
    </font>
    <font>
      <b/>
      <sz val="28"/>
      <color theme="1"/>
      <name val="Arial"/>
      <family val="2"/>
    </font>
    <font>
      <sz val="14"/>
      <color theme="1"/>
      <name val="Arial"/>
      <family val="2"/>
    </font>
    <font>
      <b/>
      <sz val="11"/>
      <color theme="1"/>
      <name val="Arial"/>
      <family val="2"/>
    </font>
    <font>
      <b/>
      <u/>
      <sz val="11"/>
      <color theme="1"/>
      <name val="Calibri"/>
      <family val="2"/>
      <scheme val="minor"/>
    </font>
    <font>
      <b/>
      <sz val="9"/>
      <color theme="1"/>
      <name val="Calibri"/>
      <family val="2"/>
      <scheme val="minor"/>
    </font>
    <font>
      <sz val="11"/>
      <color theme="1"/>
      <name val="Calibri"/>
      <family val="2"/>
    </font>
    <font>
      <sz val="11"/>
      <color rgb="FF000000"/>
      <name val="Calibri"/>
      <family val="2"/>
      <scheme val="minor"/>
    </font>
    <font>
      <sz val="11"/>
      <color theme="0" tint="-0.249977111117893"/>
      <name val="Calibri"/>
      <family val="2"/>
    </font>
    <font>
      <b/>
      <sz val="11"/>
      <color theme="1"/>
      <name val="Calibri"/>
      <family val="2"/>
    </font>
    <font>
      <b/>
      <sz val="11"/>
      <color theme="0" tint="-0.249977111117893"/>
      <name val="Calibri"/>
      <family val="2"/>
    </font>
    <font>
      <b/>
      <sz val="11"/>
      <color theme="1"/>
      <name val="Calibri (Corps)"/>
    </font>
    <font>
      <b/>
      <u/>
      <sz val="11"/>
      <color theme="1"/>
      <name val="Calibri"/>
      <family val="2"/>
    </font>
    <font>
      <sz val="11"/>
      <color theme="0" tint="-0.14999847407452621"/>
      <name val="Calibri"/>
      <family val="2"/>
      <scheme val="minor"/>
    </font>
    <font>
      <b/>
      <i/>
      <sz val="9"/>
      <color theme="0" tint="-0.14999847407452621"/>
      <name val="Calibri"/>
      <family val="2"/>
      <scheme val="minor"/>
    </font>
    <font>
      <i/>
      <sz val="9"/>
      <color theme="0" tint="-0.14999847407452621"/>
      <name val="Calibri"/>
      <family val="2"/>
      <scheme val="minor"/>
    </font>
    <font>
      <b/>
      <sz val="9"/>
      <color theme="0" tint="-0.249977111117893"/>
      <name val="Calibri"/>
      <family val="2"/>
      <scheme val="minor"/>
    </font>
    <font>
      <sz val="9"/>
      <color theme="0" tint="-0.249977111117893"/>
      <name val="Calibri"/>
      <family val="2"/>
      <scheme val="minor"/>
    </font>
    <font>
      <i/>
      <sz val="11"/>
      <color theme="0" tint="-0.249977111117893"/>
      <name val="Calibri"/>
      <family val="2"/>
      <scheme val="minor"/>
    </font>
    <font>
      <b/>
      <i/>
      <sz val="8"/>
      <color theme="0" tint="-0.249977111117893"/>
      <name val="Calibri"/>
      <family val="2"/>
      <scheme val="minor"/>
    </font>
    <font>
      <i/>
      <sz val="8"/>
      <color theme="0" tint="-0.249977111117893"/>
      <name val="Calibri"/>
      <family val="2"/>
      <scheme val="minor"/>
    </font>
    <font>
      <sz val="11"/>
      <color theme="1"/>
      <name val="Calibri"/>
      <family val="2"/>
      <scheme val="minor"/>
    </font>
    <font>
      <sz val="8"/>
      <color theme="1"/>
      <name val="Arial"/>
      <family val="2"/>
    </font>
    <font>
      <u/>
      <sz val="11"/>
      <color theme="10"/>
      <name val="Calibri"/>
      <family val="2"/>
      <scheme val="minor"/>
    </font>
    <font>
      <b/>
      <i/>
      <sz val="11"/>
      <color theme="1"/>
      <name val="Calibri"/>
      <family val="2"/>
      <scheme val="minor"/>
    </font>
    <font>
      <b/>
      <sz val="8"/>
      <color theme="1"/>
      <name val="Arial"/>
      <family val="2"/>
    </font>
    <font>
      <sz val="11"/>
      <color theme="1" tint="4.9989318521683403E-2"/>
      <name val="Calibri"/>
      <family val="2"/>
      <scheme val="minor"/>
    </font>
    <font>
      <b/>
      <sz val="11"/>
      <color theme="1" tint="4.9989318521683403E-2"/>
      <name val="Calibri"/>
      <family val="2"/>
      <scheme val="minor"/>
    </font>
    <font>
      <sz val="10"/>
      <name val="CorporateSBQ-Regular"/>
    </font>
    <font>
      <sz val="10"/>
      <name val="Trebuchet MS"/>
      <family val="2"/>
    </font>
    <font>
      <i/>
      <sz val="10"/>
      <color indexed="23"/>
      <name val="Trebuchet MS"/>
      <family val="2"/>
    </font>
    <font>
      <b/>
      <sz val="10"/>
      <name val="Trebuchet MS"/>
      <family val="2"/>
    </font>
    <font>
      <sz val="10"/>
      <color theme="0"/>
      <name val="Trebuchet MS"/>
      <family val="2"/>
    </font>
    <font>
      <b/>
      <sz val="9"/>
      <color indexed="81"/>
      <name val="Tahoma"/>
      <family val="2"/>
    </font>
    <font>
      <i/>
      <sz val="9"/>
      <color indexed="81"/>
      <name val="Tahoma"/>
      <family val="2"/>
    </font>
    <font>
      <sz val="10"/>
      <color indexed="8"/>
      <name val="Trebuchet MS"/>
      <family val="2"/>
    </font>
    <font>
      <sz val="11"/>
      <color theme="4"/>
      <name val="Calibri (Corps)"/>
    </font>
    <font>
      <sz val="11"/>
      <color theme="4"/>
      <name val="Calibri"/>
      <family val="2"/>
      <scheme val="minor"/>
    </font>
    <font>
      <sz val="11"/>
      <name val="Calibri"/>
      <family val="2"/>
      <scheme val="minor"/>
    </font>
    <font>
      <sz val="11"/>
      <color theme="0" tint="-0.499984740745262"/>
      <name val="Calibri"/>
      <family val="2"/>
      <scheme val="minor"/>
    </font>
    <font>
      <sz val="11"/>
      <color theme="1" tint="0.34998626667073579"/>
      <name val="Calibri"/>
      <family val="2"/>
      <scheme val="minor"/>
    </font>
    <font>
      <b/>
      <sz val="11"/>
      <color theme="1" tint="0.34998626667073579"/>
      <name val="Calibri"/>
      <family val="2"/>
      <scheme val="minor"/>
    </font>
    <font>
      <sz val="9"/>
      <color theme="1" tint="0.34998626667073579"/>
      <name val="Calibri"/>
      <family val="2"/>
      <scheme val="minor"/>
    </font>
    <font>
      <b/>
      <sz val="11"/>
      <color theme="0" tint="-0.499984740745262"/>
      <name val="Calibri"/>
      <family val="2"/>
      <scheme val="minor"/>
    </font>
    <font>
      <b/>
      <sz val="11"/>
      <color theme="1" tint="0.34998626667073579"/>
      <name val="Calibri (Corps)"/>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theme="6"/>
        <bgColor indexed="64"/>
      </patternFill>
    </fill>
    <fill>
      <patternFill patternType="solid">
        <fgColor theme="9"/>
        <bgColor indexed="64"/>
      </patternFill>
    </fill>
    <fill>
      <patternFill patternType="solid">
        <fgColor theme="7" tint="0.59999389629810485"/>
        <bgColor indexed="64"/>
      </patternFill>
    </fill>
    <fill>
      <patternFill patternType="solid">
        <fgColor rgb="FF00B0F0"/>
        <bgColor indexed="64"/>
      </patternFill>
    </fill>
    <fill>
      <patternFill patternType="solid">
        <fgColor rgb="FF00B0F0"/>
        <bgColor rgb="FF000000"/>
      </patternFill>
    </fill>
    <fill>
      <patternFill patternType="solid">
        <fgColor rgb="FFFFC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9" fontId="27" fillId="0" borderId="0" applyFont="0" applyFill="0" applyBorder="0" applyAlignment="0" applyProtection="0"/>
    <xf numFmtId="0" fontId="29" fillId="0" borderId="0" applyNumberFormat="0" applyFill="0" applyBorder="0" applyAlignment="0" applyProtection="0"/>
    <xf numFmtId="43" fontId="27" fillId="0" borderId="0" applyFont="0" applyFill="0" applyBorder="0" applyAlignment="0" applyProtection="0"/>
    <xf numFmtId="0" fontId="34" fillId="0" borderId="0"/>
  </cellStyleXfs>
  <cellXfs count="304">
    <xf numFmtId="0" fontId="0" fillId="0" borderId="0" xfId="0"/>
    <xf numFmtId="0" fontId="0" fillId="0" borderId="1" xfId="0" applyBorder="1"/>
    <xf numFmtId="0" fontId="6" fillId="2" borderId="0" xfId="0" applyFont="1" applyFill="1" applyBorder="1"/>
    <xf numFmtId="0" fontId="7" fillId="2" borderId="0" xfId="0" applyFont="1" applyFill="1" applyBorder="1" applyAlignment="1">
      <alignment horizontal="center"/>
    </xf>
    <xf numFmtId="0" fontId="8" fillId="2" borderId="0" xfId="0" applyFont="1" applyFill="1" applyBorder="1" applyAlignment="1">
      <alignment horizontal="center"/>
    </xf>
    <xf numFmtId="0" fontId="6" fillId="2" borderId="0" xfId="0" applyFont="1" applyFill="1" applyBorder="1" applyAlignment="1">
      <alignment vertical="center"/>
    </xf>
    <xf numFmtId="15" fontId="6" fillId="2" borderId="0" xfId="0" quotePrefix="1" applyNumberFormat="1" applyFont="1" applyFill="1" applyBorder="1"/>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0" xfId="0" applyFill="1" applyBorder="1"/>
    <xf numFmtId="0" fontId="0" fillId="0" borderId="0" xfId="0" applyBorder="1"/>
    <xf numFmtId="0" fontId="10" fillId="8" borderId="0" xfId="0" applyFont="1" applyFill="1" applyBorder="1" applyAlignment="1">
      <alignment horizontal="left" vertical="center" wrapText="1"/>
    </xf>
    <xf numFmtId="0" fontId="2" fillId="0" borderId="1" xfId="0" applyFont="1" applyBorder="1" applyAlignment="1">
      <alignment horizontal="left" vertical="center" wrapText="1"/>
    </xf>
    <xf numFmtId="164" fontId="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164" fontId="11" fillId="0" borderId="1" xfId="0" applyNumberFormat="1" applyFont="1" applyBorder="1" applyAlignment="1">
      <alignment horizontal="left" vertical="center" wrapText="1"/>
    </xf>
    <xf numFmtId="0" fontId="10" fillId="8" borderId="0" xfId="0" applyFont="1" applyFill="1" applyBorder="1" applyAlignment="1">
      <alignment horizontal="left" vertical="center"/>
    </xf>
    <xf numFmtId="0" fontId="0" fillId="8" borderId="0" xfId="0" applyFill="1" applyBorder="1" applyAlignment="1">
      <alignment horizontal="left" vertical="center" wrapText="1"/>
    </xf>
    <xf numFmtId="0" fontId="13" fillId="0" borderId="0" xfId="0" applyFont="1"/>
    <xf numFmtId="0" fontId="12" fillId="0" borderId="1" xfId="0" applyFont="1" applyBorder="1"/>
    <xf numFmtId="0" fontId="12" fillId="0" borderId="1" xfId="0" applyFont="1" applyBorder="1" applyAlignment="1">
      <alignment horizontal="center"/>
    </xf>
    <xf numFmtId="0" fontId="14" fillId="0" borderId="1" xfId="0" applyFont="1" applyBorder="1" applyAlignment="1">
      <alignment horizontal="center"/>
    </xf>
    <xf numFmtId="0" fontId="15" fillId="0" borderId="1" xfId="0" applyFont="1" applyBorder="1"/>
    <xf numFmtId="0" fontId="15" fillId="0" borderId="1" xfId="0" applyFont="1" applyBorder="1" applyAlignment="1">
      <alignment horizontal="center"/>
    </xf>
    <xf numFmtId="0" fontId="16" fillId="0" borderId="1" xfId="0" applyFont="1" applyBorder="1" applyAlignment="1">
      <alignment horizontal="center"/>
    </xf>
    <xf numFmtId="0" fontId="12" fillId="0" borderId="0" xfId="0" applyFont="1" applyBorder="1"/>
    <xf numFmtId="0" fontId="12" fillId="0" borderId="0" xfId="0" applyFont="1" applyBorder="1" applyAlignment="1">
      <alignment horizontal="center"/>
    </xf>
    <xf numFmtId="0" fontId="14" fillId="0" borderId="0" xfId="0" applyFont="1" applyBorder="1" applyAlignment="1">
      <alignment horizontal="center"/>
    </xf>
    <xf numFmtId="0" fontId="12" fillId="8" borderId="0" xfId="0" applyFont="1" applyFill="1" applyBorder="1" applyAlignment="1">
      <alignment horizontal="center"/>
    </xf>
    <xf numFmtId="0" fontId="14" fillId="8" borderId="0" xfId="0" applyFont="1" applyFill="1" applyBorder="1" applyAlignment="1">
      <alignment horizontal="center"/>
    </xf>
    <xf numFmtId="0" fontId="12" fillId="0" borderId="1" xfId="0" applyFont="1" applyFill="1" applyBorder="1" applyAlignment="1">
      <alignment horizontal="left" vertical="top"/>
    </xf>
    <xf numFmtId="0" fontId="12" fillId="0" borderId="1" xfId="0" applyFont="1" applyBorder="1" applyAlignment="1">
      <alignment horizontal="left" vertical="top"/>
    </xf>
    <xf numFmtId="0" fontId="0" fillId="0" borderId="0" xfId="0" applyBorder="1" applyAlignment="1">
      <alignment horizontal="right" wrapText="1"/>
    </xf>
    <xf numFmtId="0" fontId="0" fillId="0" borderId="0" xfId="0" applyBorder="1" applyAlignment="1">
      <alignment horizontal="center" vertical="center" wrapText="1"/>
    </xf>
    <xf numFmtId="1" fontId="0" fillId="0" borderId="0" xfId="0" applyNumberFormat="1" applyBorder="1" applyAlignment="1">
      <alignment horizontal="center" vertical="center" wrapText="1"/>
    </xf>
    <xf numFmtId="0" fontId="0" fillId="0" borderId="1" xfId="0" applyBorder="1" applyAlignment="1">
      <alignment horizontal="left" vertical="top"/>
    </xf>
    <xf numFmtId="0" fontId="0" fillId="0" borderId="1" xfId="0" applyBorder="1" applyAlignment="1">
      <alignment horizontal="right" vertical="center"/>
    </xf>
    <xf numFmtId="0" fontId="0" fillId="0" borderId="1" xfId="0" applyBorder="1" applyAlignment="1">
      <alignment horizontal="left" vertical="center"/>
    </xf>
    <xf numFmtId="0" fontId="1" fillId="0" borderId="1" xfId="0" applyFont="1" applyBorder="1" applyAlignment="1">
      <alignment horizontal="left" vertical="top"/>
    </xf>
    <xf numFmtId="0" fontId="0" fillId="0" borderId="0" xfId="0" applyBorder="1" applyAlignment="1">
      <alignment horizontal="left" vertical="center"/>
    </xf>
    <xf numFmtId="0" fontId="15" fillId="4" borderId="1" xfId="0" applyFont="1" applyFill="1" applyBorder="1" applyAlignment="1">
      <alignment horizontal="center" vertical="top"/>
    </xf>
    <xf numFmtId="0" fontId="18" fillId="0" borderId="1" xfId="0" applyFont="1" applyBorder="1" applyAlignment="1">
      <alignment horizontal="left" vertical="top"/>
    </xf>
    <xf numFmtId="164" fontId="1" fillId="4" borderId="1" xfId="0" applyNumberFormat="1" applyFont="1" applyFill="1" applyBorder="1"/>
    <xf numFmtId="165" fontId="1" fillId="4" borderId="1" xfId="0" applyNumberFormat="1" applyFont="1" applyFill="1" applyBorder="1"/>
    <xf numFmtId="165" fontId="15" fillId="4" borderId="1" xfId="0" applyNumberFormat="1" applyFont="1" applyFill="1" applyBorder="1" applyAlignment="1">
      <alignment horizontal="right" vertical="top"/>
    </xf>
    <xf numFmtId="165" fontId="12" fillId="0" borderId="0" xfId="0" applyNumberFormat="1" applyFont="1" applyBorder="1" applyAlignment="1">
      <alignment horizontal="center"/>
    </xf>
    <xf numFmtId="1" fontId="1" fillId="4" borderId="1" xfId="0" applyNumberFormat="1" applyFont="1" applyFill="1" applyBorder="1"/>
    <xf numFmtId="0" fontId="0" fillId="0" borderId="0" xfId="0" quotePrefix="1" applyBorder="1" applyAlignment="1">
      <alignment horizontal="left" vertical="center"/>
    </xf>
    <xf numFmtId="0" fontId="0" fillId="0" borderId="1" xfId="0" applyFill="1" applyBorder="1"/>
    <xf numFmtId="0" fontId="1" fillId="5" borderId="1" xfId="0" applyFont="1" applyFill="1" applyBorder="1" applyAlignment="1">
      <alignment horizontal="left" vertical="center"/>
    </xf>
    <xf numFmtId="0" fontId="0" fillId="0" borderId="1" xfId="0" applyBorder="1" applyAlignment="1"/>
    <xf numFmtId="0" fontId="0" fillId="0" borderId="0" xfId="0" applyAlignment="1"/>
    <xf numFmtId="0" fontId="0" fillId="8" borderId="0" xfId="0" applyFill="1" applyBorder="1" applyAlignment="1">
      <alignment horizontal="left" vertical="center"/>
    </xf>
    <xf numFmtId="0" fontId="2" fillId="0" borderId="1" xfId="0" applyFont="1" applyBorder="1" applyAlignment="1">
      <alignment horizontal="left" vertical="center"/>
    </xf>
    <xf numFmtId="164" fontId="2" fillId="0" borderId="1" xfId="0" applyNumberFormat="1" applyFont="1" applyBorder="1" applyAlignment="1">
      <alignment horizontal="left" vertical="center"/>
    </xf>
    <xf numFmtId="164" fontId="11" fillId="0" borderId="1" xfId="0" applyNumberFormat="1" applyFont="1" applyBorder="1" applyAlignment="1">
      <alignment horizontal="left" vertical="center"/>
    </xf>
    <xf numFmtId="0" fontId="5" fillId="7" borderId="2" xfId="0" applyFont="1" applyFill="1" applyBorder="1" applyAlignment="1"/>
    <xf numFmtId="0" fontId="1" fillId="7" borderId="3" xfId="0" applyFont="1" applyFill="1" applyBorder="1" applyAlignment="1"/>
    <xf numFmtId="0" fontId="0" fillId="7" borderId="3" xfId="0" applyFill="1" applyBorder="1" applyAlignment="1"/>
    <xf numFmtId="0" fontId="0" fillId="7" borderId="4" xfId="0" applyFill="1" applyBorder="1" applyAlignment="1"/>
    <xf numFmtId="0" fontId="1" fillId="3" borderId="5" xfId="0" applyFont="1" applyFill="1" applyBorder="1" applyAlignment="1">
      <alignment horizontal="left" vertical="center"/>
    </xf>
    <xf numFmtId="0" fontId="1" fillId="3" borderId="1" xfId="0" applyFont="1" applyFill="1" applyBorder="1" applyAlignment="1">
      <alignment horizontal="left" vertical="center"/>
    </xf>
    <xf numFmtId="0" fontId="1" fillId="4" borderId="1" xfId="0" applyFont="1" applyFill="1" applyBorder="1" applyAlignment="1">
      <alignment horizontal="left" vertical="center"/>
    </xf>
    <xf numFmtId="0" fontId="1" fillId="6" borderId="6" xfId="0" applyFont="1" applyFill="1" applyBorder="1" applyAlignment="1">
      <alignment horizontal="left" vertical="center"/>
    </xf>
    <xf numFmtId="0" fontId="0" fillId="0" borderId="0" xfId="0" applyAlignment="1">
      <alignment horizontal="left" vertical="center"/>
    </xf>
    <xf numFmtId="0" fontId="0" fillId="0" borderId="5" xfId="0" applyFont="1" applyBorder="1" applyAlignment="1"/>
    <xf numFmtId="0" fontId="1" fillId="0" borderId="1" xfId="0" applyFont="1" applyBorder="1" applyAlignment="1"/>
    <xf numFmtId="0" fontId="0" fillId="0" borderId="1" xfId="0" applyFont="1" applyBorder="1" applyAlignment="1"/>
    <xf numFmtId="0" fontId="0" fillId="0" borderId="1" xfId="0" quotePrefix="1" applyFont="1" applyBorder="1" applyAlignment="1"/>
    <xf numFmtId="164" fontId="0" fillId="4" borderId="1" xfId="0" applyNumberFormat="1" applyFont="1" applyFill="1" applyBorder="1" applyAlignment="1"/>
    <xf numFmtId="1" fontId="0" fillId="6" borderId="7" xfId="0" applyNumberFormat="1" applyFont="1" applyFill="1" applyBorder="1" applyAlignment="1"/>
    <xf numFmtId="0" fontId="0" fillId="0" borderId="0" xfId="0" applyFont="1" applyAlignment="1"/>
    <xf numFmtId="0" fontId="0" fillId="0" borderId="1" xfId="0" applyFont="1" applyBorder="1" applyAlignment="1">
      <alignment horizontal="left" vertical="center"/>
    </xf>
    <xf numFmtId="0" fontId="0" fillId="0" borderId="8" xfId="0" applyFont="1" applyBorder="1" applyAlignment="1"/>
    <xf numFmtId="0" fontId="1" fillId="0" borderId="9" xfId="0" applyFont="1" applyBorder="1" applyAlignment="1"/>
    <xf numFmtId="0" fontId="0" fillId="0" borderId="9" xfId="0" applyFont="1" applyBorder="1" applyAlignment="1"/>
    <xf numFmtId="0" fontId="0" fillId="0" borderId="9" xfId="0" quotePrefix="1" applyFont="1" applyBorder="1" applyAlignment="1"/>
    <xf numFmtId="164" fontId="0" fillId="4" borderId="9" xfId="0" applyNumberFormat="1" applyFont="1" applyFill="1" applyBorder="1" applyAlignment="1"/>
    <xf numFmtId="1" fontId="0" fillId="6" borderId="10" xfId="0" applyNumberFormat="1" applyFont="1" applyFill="1" applyBorder="1" applyAlignment="1"/>
    <xf numFmtId="0" fontId="1" fillId="0" borderId="0" xfId="0" applyFont="1" applyAlignment="1"/>
    <xf numFmtId="0" fontId="0" fillId="0" borderId="0" xfId="0" applyFont="1" applyBorder="1" applyAlignment="1"/>
    <xf numFmtId="0" fontId="3" fillId="0" borderId="1" xfId="0" applyFont="1" applyBorder="1" applyAlignment="1"/>
    <xf numFmtId="0" fontId="0" fillId="0" borderId="0" xfId="0" quotePrefix="1" applyFont="1" applyBorder="1" applyAlignment="1"/>
    <xf numFmtId="0" fontId="0" fillId="0" borderId="1" xfId="0" applyFont="1" applyFill="1" applyBorder="1" applyAlignment="1"/>
    <xf numFmtId="0" fontId="1" fillId="0" borderId="1" xfId="0" applyFont="1" applyFill="1" applyBorder="1" applyAlignment="1"/>
    <xf numFmtId="0" fontId="0" fillId="0" borderId="1" xfId="0" quotePrefix="1" applyFont="1" applyFill="1" applyBorder="1" applyAlignment="1"/>
    <xf numFmtId="0" fontId="3" fillId="0" borderId="0" xfId="0" applyFont="1" applyAlignment="1"/>
    <xf numFmtId="0" fontId="0" fillId="7" borderId="3" xfId="0" applyFont="1" applyFill="1" applyBorder="1" applyAlignment="1"/>
    <xf numFmtId="0" fontId="0" fillId="7" borderId="4" xfId="0" applyFont="1" applyFill="1" applyBorder="1" applyAlignment="1"/>
    <xf numFmtId="0" fontId="0" fillId="0" borderId="5" xfId="0" applyFont="1" applyFill="1" applyBorder="1" applyAlignment="1"/>
    <xf numFmtId="0" fontId="0" fillId="0" borderId="9" xfId="0" applyFont="1" applyFill="1" applyBorder="1" applyAlignment="1"/>
    <xf numFmtId="0" fontId="0" fillId="0" borderId="0" xfId="0" applyFill="1" applyBorder="1" applyAlignment="1">
      <alignment horizontal="left" vertical="center" wrapText="1"/>
    </xf>
    <xf numFmtId="165" fontId="14" fillId="0" borderId="0" xfId="0" applyNumberFormat="1" applyFont="1" applyFill="1" applyBorder="1" applyAlignment="1">
      <alignment horizontal="center"/>
    </xf>
    <xf numFmtId="0" fontId="1" fillId="0" borderId="0" xfId="0" applyFont="1" applyFill="1" applyBorder="1"/>
    <xf numFmtId="11" fontId="0" fillId="0" borderId="0" xfId="0" applyNumberFormat="1" applyFill="1" applyBorder="1"/>
    <xf numFmtId="0" fontId="1" fillId="4" borderId="1" xfId="0" applyFont="1" applyFill="1" applyBorder="1"/>
    <xf numFmtId="0" fontId="1" fillId="5" borderId="12" xfId="0" applyFont="1" applyFill="1" applyBorder="1" applyAlignment="1">
      <alignment horizontal="left" vertical="center" wrapText="1"/>
    </xf>
    <xf numFmtId="0" fontId="1" fillId="5" borderId="13" xfId="0" applyFont="1" applyFill="1" applyBorder="1" applyAlignment="1">
      <alignment horizontal="left" vertical="center" wrapText="1"/>
    </xf>
    <xf numFmtId="0" fontId="1" fillId="5" borderId="13" xfId="0" applyFont="1" applyFill="1" applyBorder="1" applyAlignment="1">
      <alignment horizontal="left" vertical="center"/>
    </xf>
    <xf numFmtId="0" fontId="1" fillId="4"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8" fillId="0" borderId="5" xfId="0" applyFont="1" applyBorder="1" applyAlignment="1">
      <alignment horizontal="left" vertical="top"/>
    </xf>
    <xf numFmtId="2" fontId="15" fillId="6" borderId="7" xfId="0" applyNumberFormat="1" applyFont="1" applyFill="1" applyBorder="1" applyAlignment="1">
      <alignment horizontal="center"/>
    </xf>
    <xf numFmtId="0" fontId="0" fillId="0" borderId="5" xfId="0" applyBorder="1"/>
    <xf numFmtId="2" fontId="1" fillId="6" borderId="7" xfId="0" applyNumberFormat="1" applyFont="1" applyFill="1" applyBorder="1"/>
    <xf numFmtId="166" fontId="1" fillId="6" borderId="7" xfId="0" applyNumberFormat="1" applyFont="1" applyFill="1" applyBorder="1"/>
    <xf numFmtId="0" fontId="0" fillId="0" borderId="5" xfId="0" applyFont="1" applyFill="1" applyBorder="1"/>
    <xf numFmtId="0" fontId="1" fillId="6" borderId="7" xfId="0" applyFont="1" applyFill="1" applyBorder="1"/>
    <xf numFmtId="0" fontId="0" fillId="0" borderId="7" xfId="0" applyBorder="1"/>
    <xf numFmtId="0" fontId="12" fillId="0" borderId="5" xfId="0" applyFont="1" applyBorder="1" applyAlignment="1">
      <alignment horizontal="left" vertical="top"/>
    </xf>
    <xf numFmtId="0" fontId="12" fillId="0" borderId="5" xfId="0" applyFont="1" applyFill="1" applyBorder="1" applyAlignment="1">
      <alignment horizontal="left" vertical="top"/>
    </xf>
    <xf numFmtId="0" fontId="1" fillId="9" borderId="6" xfId="0" applyFont="1" applyFill="1" applyBorder="1" applyAlignment="1">
      <alignment horizontal="left" vertical="center"/>
    </xf>
    <xf numFmtId="49" fontId="0" fillId="4" borderId="1" xfId="0" quotePrefix="1" applyNumberFormat="1" applyFont="1" applyFill="1" applyBorder="1" applyAlignment="1"/>
    <xf numFmtId="49" fontId="0" fillId="9" borderId="1" xfId="0" quotePrefix="1" applyNumberFormat="1" applyFont="1" applyFill="1" applyBorder="1" applyAlignment="1"/>
    <xf numFmtId="49" fontId="0" fillId="4" borderId="0" xfId="0" quotePrefix="1" applyNumberFormat="1" applyFont="1" applyFill="1" applyBorder="1" applyAlignment="1"/>
    <xf numFmtId="49" fontId="0" fillId="9" borderId="0" xfId="0" quotePrefix="1" applyNumberFormat="1" applyFont="1" applyFill="1" applyBorder="1" applyAlignment="1"/>
    <xf numFmtId="49" fontId="0" fillId="4" borderId="9" xfId="0" quotePrefix="1" applyNumberFormat="1" applyFont="1" applyFill="1" applyBorder="1" applyAlignment="1"/>
    <xf numFmtId="49" fontId="0" fillId="9" borderId="9" xfId="0" quotePrefix="1" applyNumberFormat="1" applyFont="1" applyFill="1" applyBorder="1" applyAlignment="1"/>
    <xf numFmtId="0" fontId="1" fillId="6" borderId="0" xfId="0" applyFont="1" applyFill="1" applyBorder="1" applyAlignment="1">
      <alignment horizontal="left" vertical="center"/>
    </xf>
    <xf numFmtId="1" fontId="0" fillId="6" borderId="11" xfId="0" applyNumberFormat="1" applyFont="1" applyFill="1" applyBorder="1" applyAlignment="1"/>
    <xf numFmtId="1" fontId="0" fillId="6" borderId="15" xfId="0" applyNumberFormat="1" applyFont="1" applyFill="1" applyBorder="1" applyAlignment="1"/>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1" fillId="0" borderId="7" xfId="0" applyFont="1" applyBorder="1" applyAlignment="1">
      <alignment horizontal="center" vertical="center"/>
    </xf>
    <xf numFmtId="164" fontId="21" fillId="0" borderId="5" xfId="0" applyNumberFormat="1" applyFont="1" applyBorder="1" applyAlignment="1">
      <alignment horizontal="center"/>
    </xf>
    <xf numFmtId="164" fontId="21" fillId="0" borderId="1" xfId="0" applyNumberFormat="1" applyFont="1" applyBorder="1" applyAlignment="1">
      <alignment horizontal="center"/>
    </xf>
    <xf numFmtId="1" fontId="21" fillId="0" borderId="1" xfId="0" applyNumberFormat="1" applyFont="1" applyBorder="1" applyAlignment="1">
      <alignment horizontal="center"/>
    </xf>
    <xf numFmtId="1" fontId="21" fillId="0" borderId="7" xfId="0" applyNumberFormat="1" applyFont="1" applyBorder="1" applyAlignment="1">
      <alignment horizontal="center"/>
    </xf>
    <xf numFmtId="167" fontId="21" fillId="0" borderId="1" xfId="0" applyNumberFormat="1" applyFont="1" applyBorder="1" applyAlignment="1">
      <alignment horizontal="center"/>
    </xf>
    <xf numFmtId="167" fontId="21" fillId="0" borderId="7" xfId="0" applyNumberFormat="1" applyFont="1" applyBorder="1" applyAlignment="1">
      <alignment horizontal="center"/>
    </xf>
    <xf numFmtId="164" fontId="21" fillId="0" borderId="8" xfId="0" applyNumberFormat="1" applyFont="1" applyBorder="1" applyAlignment="1">
      <alignment horizontal="center"/>
    </xf>
    <xf numFmtId="164" fontId="21" fillId="0" borderId="9" xfId="0" applyNumberFormat="1" applyFont="1" applyBorder="1" applyAlignment="1">
      <alignment horizontal="center"/>
    </xf>
    <xf numFmtId="1" fontId="21" fillId="0" borderId="9" xfId="0" applyNumberFormat="1" applyFont="1" applyBorder="1" applyAlignment="1">
      <alignment horizontal="center"/>
    </xf>
    <xf numFmtId="1" fontId="21" fillId="0" borderId="10" xfId="0" applyNumberFormat="1" applyFont="1" applyBorder="1" applyAlignment="1">
      <alignment horizontal="center"/>
    </xf>
    <xf numFmtId="0" fontId="19" fillId="0" borderId="0" xfId="0" applyFont="1" applyAlignment="1">
      <alignment horizontal="center"/>
    </xf>
    <xf numFmtId="168" fontId="0" fillId="6" borderId="7" xfId="0" applyNumberFormat="1" applyFont="1" applyFill="1" applyBorder="1" applyAlignment="1"/>
    <xf numFmtId="167" fontId="0" fillId="4" borderId="1" xfId="0" applyNumberFormat="1" applyFont="1" applyFill="1" applyBorder="1" applyAlignment="1"/>
    <xf numFmtId="0" fontId="0" fillId="7" borderId="3" xfId="0" applyFill="1" applyBorder="1" applyAlignment="1">
      <alignment horizontal="center"/>
    </xf>
    <xf numFmtId="0" fontId="0" fillId="7" borderId="4" xfId="0" applyFill="1" applyBorder="1" applyAlignment="1">
      <alignment horizontal="center"/>
    </xf>
    <xf numFmtId="0" fontId="1" fillId="4" borderId="1" xfId="0" applyFont="1" applyFill="1" applyBorder="1" applyAlignment="1">
      <alignment horizontal="center" vertical="center"/>
    </xf>
    <xf numFmtId="0" fontId="1" fillId="6" borderId="6" xfId="0" applyFont="1" applyFill="1" applyBorder="1" applyAlignment="1">
      <alignment horizontal="center" vertical="center"/>
    </xf>
    <xf numFmtId="49" fontId="0" fillId="4" borderId="1" xfId="0" applyNumberFormat="1" applyFont="1" applyFill="1" applyBorder="1" applyAlignment="1">
      <alignment horizontal="center"/>
    </xf>
    <xf numFmtId="49" fontId="0" fillId="6" borderId="7" xfId="0" applyNumberFormat="1" applyFont="1" applyFill="1" applyBorder="1" applyAlignment="1">
      <alignment horizontal="center"/>
    </xf>
    <xf numFmtId="49" fontId="0" fillId="4" borderId="9" xfId="0" applyNumberFormat="1" applyFont="1" applyFill="1" applyBorder="1" applyAlignment="1">
      <alignment horizontal="center"/>
    </xf>
    <xf numFmtId="0" fontId="0" fillId="0" borderId="0" xfId="0" applyAlignment="1">
      <alignment horizontal="center"/>
    </xf>
    <xf numFmtId="0" fontId="24" fillId="0" borderId="0" xfId="0" applyFont="1" applyAlignment="1"/>
    <xf numFmtId="0" fontId="26" fillId="0" borderId="5" xfId="0" applyFont="1" applyBorder="1" applyAlignment="1">
      <alignment horizontal="center" vertical="center"/>
    </xf>
    <xf numFmtId="0" fontId="26" fillId="0" borderId="1" xfId="0" applyFont="1" applyBorder="1" applyAlignment="1">
      <alignment horizontal="center" vertical="center"/>
    </xf>
    <xf numFmtId="0" fontId="26" fillId="0" borderId="7" xfId="0" applyFont="1" applyBorder="1" applyAlignment="1">
      <alignment horizontal="center" vertical="center"/>
    </xf>
    <xf numFmtId="164" fontId="26" fillId="0" borderId="0" xfId="0" applyNumberFormat="1" applyFont="1" applyAlignment="1">
      <alignment horizontal="center"/>
    </xf>
    <xf numFmtId="1" fontId="26" fillId="0" borderId="0" xfId="0" applyNumberFormat="1" applyFont="1" applyAlignment="1">
      <alignment horizontal="center"/>
    </xf>
    <xf numFmtId="167" fontId="26" fillId="0" borderId="0" xfId="0" applyNumberFormat="1" applyFont="1" applyAlignment="1">
      <alignment horizontal="center"/>
    </xf>
    <xf numFmtId="168" fontId="26" fillId="0" borderId="0" xfId="0" applyNumberFormat="1" applyFont="1" applyAlignment="1">
      <alignment horizontal="center"/>
    </xf>
    <xf numFmtId="0" fontId="23" fillId="7" borderId="3" xfId="0" applyFont="1" applyFill="1" applyBorder="1" applyAlignment="1">
      <alignment horizontal="center"/>
    </xf>
    <xf numFmtId="0" fontId="22" fillId="5" borderId="1" xfId="0" applyFont="1" applyFill="1" applyBorder="1" applyAlignment="1">
      <alignment horizontal="center" vertical="center"/>
    </xf>
    <xf numFmtId="9" fontId="23" fillId="0" borderId="1" xfId="0" quotePrefix="1" applyNumberFormat="1" applyFont="1" applyBorder="1" applyAlignment="1">
      <alignment horizontal="center"/>
    </xf>
    <xf numFmtId="0" fontId="23" fillId="0" borderId="1" xfId="0" quotePrefix="1" applyFont="1" applyBorder="1" applyAlignment="1">
      <alignment horizontal="center"/>
    </xf>
    <xf numFmtId="0" fontId="23" fillId="0" borderId="9" xfId="0" quotePrefix="1" applyFont="1" applyBorder="1" applyAlignment="1">
      <alignment horizontal="center"/>
    </xf>
    <xf numFmtId="0" fontId="23" fillId="0" borderId="0" xfId="0" applyFont="1" applyAlignment="1">
      <alignment horizontal="center"/>
    </xf>
    <xf numFmtId="164" fontId="0" fillId="0" borderId="0" xfId="0" applyNumberFormat="1" applyFont="1" applyAlignment="1"/>
    <xf numFmtId="168" fontId="0" fillId="0" borderId="0" xfId="0" applyNumberFormat="1" applyFont="1" applyAlignment="1"/>
    <xf numFmtId="1" fontId="0" fillId="0" borderId="0" xfId="0" applyNumberFormat="1" applyFont="1" applyAlignment="1"/>
    <xf numFmtId="167" fontId="0" fillId="0" borderId="0" xfId="0" applyNumberFormat="1" applyFont="1" applyAlignment="1"/>
    <xf numFmtId="0" fontId="1" fillId="0" borderId="0" xfId="0" applyFont="1"/>
    <xf numFmtId="0" fontId="28" fillId="0" borderId="5" xfId="0" applyFont="1" applyBorder="1" applyAlignment="1">
      <alignment horizontal="center" wrapText="1"/>
    </xf>
    <xf numFmtId="0" fontId="28" fillId="0" borderId="1" xfId="0" applyFont="1" applyBorder="1" applyAlignment="1">
      <alignment horizontal="center" wrapText="1"/>
    </xf>
    <xf numFmtId="0" fontId="28" fillId="0" borderId="7" xfId="0" applyFont="1" applyBorder="1" applyAlignment="1">
      <alignment horizontal="center" wrapText="1"/>
    </xf>
    <xf numFmtId="168" fontId="28" fillId="0" borderId="1" xfId="0" applyNumberFormat="1" applyFont="1" applyBorder="1" applyAlignment="1">
      <alignment horizontal="center" wrapText="1"/>
    </xf>
    <xf numFmtId="0" fontId="29" fillId="0" borderId="0" xfId="2"/>
    <xf numFmtId="1" fontId="28" fillId="0" borderId="8" xfId="0" applyNumberFormat="1" applyFont="1" applyBorder="1" applyAlignment="1">
      <alignment horizontal="center" wrapText="1"/>
    </xf>
    <xf numFmtId="1" fontId="28" fillId="0" borderId="9" xfId="0" applyNumberFormat="1" applyFont="1" applyBorder="1" applyAlignment="1">
      <alignment horizontal="center" wrapText="1"/>
    </xf>
    <xf numFmtId="1" fontId="28" fillId="0" borderId="10" xfId="0" applyNumberFormat="1" applyFont="1" applyBorder="1" applyAlignment="1">
      <alignment horizontal="center" wrapText="1"/>
    </xf>
    <xf numFmtId="0" fontId="0" fillId="0" borderId="0" xfId="0" applyAlignment="1">
      <alignment horizontal="left" vertical="top"/>
    </xf>
    <xf numFmtId="0" fontId="0" fillId="10" borderId="0" xfId="0" applyFill="1"/>
    <xf numFmtId="0" fontId="0" fillId="10" borderId="0" xfId="0" applyFill="1" applyAlignment="1">
      <alignment horizontal="center"/>
    </xf>
    <xf numFmtId="1" fontId="0" fillId="10" borderId="0" xfId="0" applyNumberFormat="1" applyFill="1" applyAlignment="1">
      <alignment horizontal="center"/>
    </xf>
    <xf numFmtId="0" fontId="1" fillId="10" borderId="0" xfId="0" applyFont="1" applyFill="1"/>
    <xf numFmtId="0" fontId="30" fillId="10" borderId="0" xfId="0" applyFont="1" applyFill="1" applyAlignment="1">
      <alignment horizontal="right"/>
    </xf>
    <xf numFmtId="10" fontId="30" fillId="10" borderId="0" xfId="1" applyNumberFormat="1" applyFont="1" applyFill="1" applyAlignment="1">
      <alignment horizontal="center"/>
    </xf>
    <xf numFmtId="0" fontId="30" fillId="10" borderId="0" xfId="0" applyFont="1" applyFill="1"/>
    <xf numFmtId="169" fontId="30" fillId="10" borderId="0" xfId="1" applyNumberFormat="1" applyFont="1" applyFill="1" applyAlignment="1">
      <alignment horizontal="center"/>
    </xf>
    <xf numFmtId="0" fontId="31" fillId="0" borderId="7" xfId="0" applyFont="1" applyBorder="1" applyAlignment="1">
      <alignment horizontal="center" wrapText="1"/>
    </xf>
    <xf numFmtId="168" fontId="31" fillId="0" borderId="7" xfId="0" applyNumberFormat="1" applyFont="1" applyBorder="1" applyAlignment="1">
      <alignment horizontal="center" wrapText="1"/>
    </xf>
    <xf numFmtId="0" fontId="31" fillId="0" borderId="5" xfId="0" applyFont="1" applyBorder="1" applyAlignment="1">
      <alignment horizontal="center" wrapText="1"/>
    </xf>
    <xf numFmtId="0" fontId="31" fillId="0" borderId="1" xfId="0" applyFont="1" applyBorder="1" applyAlignment="1">
      <alignment horizontal="center" wrapText="1"/>
    </xf>
    <xf numFmtId="0" fontId="32" fillId="7" borderId="3" xfId="0" applyFont="1" applyFill="1" applyBorder="1" applyAlignment="1"/>
    <xf numFmtId="0" fontId="33" fillId="5" borderId="1" xfId="0" applyFont="1" applyFill="1" applyBorder="1" applyAlignment="1">
      <alignment horizontal="left" vertical="center"/>
    </xf>
    <xf numFmtId="0" fontId="32" fillId="0" borderId="1" xfId="0" quotePrefix="1" applyFont="1" applyBorder="1" applyAlignment="1"/>
    <xf numFmtId="0" fontId="32" fillId="0" borderId="9" xfId="0" quotePrefix="1" applyFont="1" applyBorder="1" applyAlignment="1"/>
    <xf numFmtId="0" fontId="32" fillId="0" borderId="0" xfId="0" applyFont="1" applyAlignment="1"/>
    <xf numFmtId="0" fontId="32" fillId="4" borderId="1" xfId="0" quotePrefix="1" applyFont="1" applyFill="1" applyBorder="1" applyAlignment="1"/>
    <xf numFmtId="0" fontId="32" fillId="6" borderId="1" xfId="0" quotePrefix="1" applyFont="1" applyFill="1" applyBorder="1" applyAlignment="1"/>
    <xf numFmtId="0" fontId="32" fillId="6" borderId="9" xfId="0" quotePrefix="1" applyFont="1" applyFill="1" applyBorder="1" applyAlignment="1"/>
    <xf numFmtId="0" fontId="32" fillId="4" borderId="0" xfId="0" quotePrefix="1" applyFont="1" applyFill="1" applyBorder="1" applyAlignment="1"/>
    <xf numFmtId="1" fontId="0" fillId="0" borderId="0" xfId="0" applyNumberFormat="1"/>
    <xf numFmtId="0" fontId="0" fillId="0" borderId="0" xfId="0" applyAlignment="1">
      <alignment horizontal="right"/>
    </xf>
    <xf numFmtId="0" fontId="32" fillId="6" borderId="0" xfId="0" quotePrefix="1" applyFont="1" applyFill="1" applyBorder="1" applyAlignment="1"/>
    <xf numFmtId="164" fontId="21" fillId="0" borderId="0" xfId="0" applyNumberFormat="1" applyFont="1" applyBorder="1" applyAlignment="1">
      <alignment horizontal="center"/>
    </xf>
    <xf numFmtId="1" fontId="21" fillId="0" borderId="0" xfId="0" applyNumberFormat="1" applyFont="1" applyBorder="1" applyAlignment="1">
      <alignment horizontal="center"/>
    </xf>
    <xf numFmtId="0" fontId="35" fillId="2" borderId="16" xfId="4" applyFont="1" applyFill="1" applyBorder="1" applyProtection="1">
      <protection hidden="1"/>
    </xf>
    <xf numFmtId="0" fontId="35" fillId="0" borderId="11" xfId="4" applyFont="1" applyFill="1" applyBorder="1" applyProtection="1">
      <protection hidden="1"/>
    </xf>
    <xf numFmtId="1" fontId="36" fillId="2" borderId="17" xfId="3" applyNumberFormat="1" applyFont="1" applyFill="1" applyBorder="1" applyAlignment="1" applyProtection="1">
      <alignment horizontal="center"/>
      <protection hidden="1"/>
    </xf>
    <xf numFmtId="0" fontId="36" fillId="2" borderId="17" xfId="3" applyNumberFormat="1" applyFont="1" applyFill="1" applyBorder="1" applyAlignment="1" applyProtection="1">
      <alignment horizontal="center"/>
      <protection hidden="1"/>
    </xf>
    <xf numFmtId="9" fontId="37" fillId="3" borderId="17" xfId="1" applyNumberFormat="1" applyFont="1" applyFill="1" applyBorder="1" applyAlignment="1" applyProtection="1">
      <alignment horizontal="center"/>
      <protection locked="0"/>
    </xf>
    <xf numFmtId="0" fontId="35" fillId="2" borderId="18" xfId="0" applyFont="1" applyFill="1" applyBorder="1" applyAlignment="1" applyProtection="1">
      <alignment horizontal="center"/>
      <protection hidden="1"/>
    </xf>
    <xf numFmtId="2" fontId="37" fillId="2" borderId="1" xfId="4" applyNumberFormat="1" applyFont="1" applyFill="1" applyBorder="1" applyAlignment="1" applyProtection="1">
      <alignment horizontal="center"/>
      <protection hidden="1"/>
    </xf>
    <xf numFmtId="0" fontId="38" fillId="2" borderId="19" xfId="4" applyFont="1" applyFill="1" applyBorder="1" applyProtection="1">
      <protection hidden="1"/>
    </xf>
    <xf numFmtId="0" fontId="41" fillId="0" borderId="11" xfId="4" applyFont="1" applyFill="1" applyBorder="1" applyProtection="1">
      <protection hidden="1"/>
    </xf>
    <xf numFmtId="9" fontId="37" fillId="3" borderId="17" xfId="1" applyFont="1" applyFill="1" applyBorder="1" applyAlignment="1" applyProtection="1">
      <alignment horizontal="center"/>
      <protection locked="0"/>
    </xf>
    <xf numFmtId="0" fontId="0" fillId="11" borderId="1" xfId="0" applyFont="1" applyFill="1" applyBorder="1" applyAlignment="1"/>
    <xf numFmtId="0" fontId="4" fillId="11" borderId="1" xfId="0" applyFont="1" applyFill="1" applyBorder="1" applyAlignment="1"/>
    <xf numFmtId="0" fontId="12" fillId="0" borderId="20" xfId="0" applyFont="1" applyBorder="1" applyAlignment="1">
      <alignment horizontal="left" vertical="top"/>
    </xf>
    <xf numFmtId="0" fontId="12" fillId="0" borderId="16" xfId="0" applyFont="1" applyBorder="1" applyAlignment="1">
      <alignment horizontal="left" vertical="top"/>
    </xf>
    <xf numFmtId="164" fontId="1" fillId="4" borderId="16" xfId="0" applyNumberFormat="1" applyFont="1" applyFill="1" applyBorder="1"/>
    <xf numFmtId="2" fontId="1" fillId="6" borderId="21" xfId="0" applyNumberFormat="1" applyFont="1" applyFill="1" applyBorder="1"/>
    <xf numFmtId="1" fontId="0" fillId="11" borderId="1" xfId="0" applyNumberFormat="1" applyFont="1" applyFill="1" applyBorder="1" applyAlignment="1"/>
    <xf numFmtId="0" fontId="0" fillId="11" borderId="1" xfId="0" applyFill="1" applyBorder="1"/>
    <xf numFmtId="164" fontId="0" fillId="11" borderId="1" xfId="0" applyNumberFormat="1" applyFill="1" applyBorder="1"/>
    <xf numFmtId="1" fontId="0" fillId="11" borderId="1" xfId="0" applyNumberFormat="1" applyFill="1" applyBorder="1" applyAlignment="1">
      <alignment horizontal="right" vertical="center" wrapText="1"/>
    </xf>
    <xf numFmtId="1" fontId="0" fillId="11" borderId="1" xfId="0" applyNumberFormat="1" applyFill="1" applyBorder="1" applyAlignment="1">
      <alignment horizontal="right" vertical="center"/>
    </xf>
    <xf numFmtId="0" fontId="13" fillId="12" borderId="1" xfId="0" applyFont="1" applyFill="1" applyBorder="1"/>
    <xf numFmtId="0" fontId="43" fillId="11" borderId="0" xfId="0" applyFont="1" applyFill="1" applyAlignment="1"/>
    <xf numFmtId="0" fontId="43" fillId="0" borderId="0" xfId="0" applyFont="1" applyAlignment="1"/>
    <xf numFmtId="1" fontId="0" fillId="0" borderId="0" xfId="0" applyNumberFormat="1" applyAlignment="1"/>
    <xf numFmtId="1" fontId="44" fillId="0" borderId="0" xfId="0" applyNumberFormat="1" applyFont="1" applyFill="1" applyAlignment="1"/>
    <xf numFmtId="0" fontId="44" fillId="0" borderId="0" xfId="0" applyFont="1" applyFill="1" applyAlignment="1"/>
    <xf numFmtId="0" fontId="44" fillId="0" borderId="0" xfId="0" applyFont="1" applyFill="1" applyAlignment="1">
      <alignment horizontal="center"/>
    </xf>
    <xf numFmtId="0" fontId="44" fillId="0" borderId="0" xfId="0" applyFont="1" applyFill="1" applyAlignment="1">
      <alignment horizontal="left"/>
    </xf>
    <xf numFmtId="0" fontId="6" fillId="4" borderId="0" xfId="0" applyFont="1" applyFill="1" applyBorder="1"/>
    <xf numFmtId="49" fontId="0" fillId="6" borderId="1" xfId="0" quotePrefix="1" applyNumberFormat="1" applyFont="1" applyFill="1" applyBorder="1" applyAlignment="1"/>
    <xf numFmtId="49" fontId="0" fillId="6" borderId="0" xfId="0" quotePrefix="1" applyNumberFormat="1" applyFont="1" applyFill="1" applyBorder="1" applyAlignment="1"/>
    <xf numFmtId="49" fontId="0" fillId="6" borderId="9" xfId="0" quotePrefix="1" applyNumberFormat="1" applyFont="1" applyFill="1" applyBorder="1" applyAlignment="1"/>
    <xf numFmtId="49" fontId="0" fillId="6" borderId="7" xfId="0" quotePrefix="1" applyNumberFormat="1" applyFont="1" applyFill="1" applyBorder="1" applyAlignment="1"/>
    <xf numFmtId="0" fontId="46" fillId="13" borderId="0" xfId="0" applyFont="1" applyFill="1" applyAlignment="1"/>
    <xf numFmtId="0" fontId="46" fillId="0" borderId="5" xfId="0" applyFont="1" applyBorder="1" applyAlignment="1"/>
    <xf numFmtId="0" fontId="47" fillId="0" borderId="1" xfId="0" applyFont="1" applyBorder="1" applyAlignment="1"/>
    <xf numFmtId="0" fontId="48" fillId="13" borderId="1" xfId="0" quotePrefix="1" applyFont="1" applyFill="1" applyBorder="1" applyAlignment="1">
      <alignment horizontal="center"/>
    </xf>
    <xf numFmtId="49" fontId="46" fillId="4" borderId="1" xfId="0" applyNumberFormat="1" applyFont="1" applyFill="1" applyBorder="1" applyAlignment="1">
      <alignment horizontal="center"/>
    </xf>
    <xf numFmtId="49" fontId="46" fillId="6" borderId="1" xfId="0" applyNumberFormat="1" applyFont="1" applyFill="1" applyBorder="1" applyAlignment="1">
      <alignment horizontal="center"/>
    </xf>
    <xf numFmtId="167" fontId="46" fillId="4" borderId="1" xfId="0" applyNumberFormat="1" applyFont="1" applyFill="1" applyBorder="1" applyAlignment="1"/>
    <xf numFmtId="168" fontId="46" fillId="6" borderId="11" xfId="0" applyNumberFormat="1" applyFont="1" applyFill="1" applyBorder="1" applyAlignment="1"/>
    <xf numFmtId="0" fontId="46" fillId="0" borderId="5" xfId="0" applyFont="1" applyBorder="1" applyAlignment="1">
      <alignment horizontal="center"/>
    </xf>
    <xf numFmtId="0" fontId="46" fillId="0" borderId="1" xfId="0" applyFont="1" applyBorder="1" applyAlignment="1">
      <alignment horizontal="center"/>
    </xf>
    <xf numFmtId="0" fontId="46" fillId="0" borderId="7" xfId="0" applyFont="1" applyBorder="1" applyAlignment="1">
      <alignment horizontal="center"/>
    </xf>
    <xf numFmtId="0" fontId="46" fillId="0" borderId="0" xfId="0" applyFont="1" applyAlignment="1"/>
    <xf numFmtId="164" fontId="46" fillId="4" borderId="1" xfId="0" applyNumberFormat="1" applyFont="1" applyFill="1" applyBorder="1" applyAlignment="1"/>
    <xf numFmtId="1" fontId="46" fillId="6" borderId="11" xfId="0" applyNumberFormat="1" applyFont="1" applyFill="1" applyBorder="1" applyAlignment="1"/>
    <xf numFmtId="9" fontId="48" fillId="13" borderId="1" xfId="0" quotePrefix="1" applyNumberFormat="1" applyFont="1" applyFill="1" applyBorder="1" applyAlignment="1">
      <alignment horizontal="center"/>
    </xf>
    <xf numFmtId="0" fontId="45" fillId="0" borderId="0" xfId="0" applyFont="1" applyAlignment="1"/>
    <xf numFmtId="49" fontId="46" fillId="6" borderId="7" xfId="0" applyNumberFormat="1" applyFont="1" applyFill="1" applyBorder="1" applyAlignment="1">
      <alignment horizontal="center"/>
    </xf>
    <xf numFmtId="1" fontId="46" fillId="6" borderId="7" xfId="0" applyNumberFormat="1" applyFont="1" applyFill="1" applyBorder="1" applyAlignment="1"/>
    <xf numFmtId="0" fontId="46" fillId="0" borderId="0" xfId="0" applyFont="1" applyAlignment="1">
      <alignment horizontal="center"/>
    </xf>
    <xf numFmtId="0" fontId="49" fillId="0" borderId="0" xfId="0" applyFont="1" applyAlignment="1"/>
    <xf numFmtId="1" fontId="45" fillId="0" borderId="0" xfId="0" applyNumberFormat="1" applyFont="1" applyAlignment="1"/>
    <xf numFmtId="0" fontId="45" fillId="0" borderId="0" xfId="0" applyFont="1" applyFill="1" applyAlignment="1"/>
    <xf numFmtId="1" fontId="0" fillId="0" borderId="0" xfId="0" applyNumberFormat="1" applyFill="1" applyAlignment="1"/>
    <xf numFmtId="1" fontId="0" fillId="0" borderId="0" xfId="0" applyNumberFormat="1" applyFont="1" applyFill="1" applyAlignment="1"/>
    <xf numFmtId="0" fontId="0" fillId="0" borderId="0" xfId="0" applyFill="1" applyAlignment="1"/>
    <xf numFmtId="0" fontId="0" fillId="0" borderId="0" xfId="0" applyFont="1" applyFill="1" applyAlignment="1"/>
    <xf numFmtId="0" fontId="1" fillId="0" borderId="2" xfId="0" applyFont="1" applyBorder="1" applyAlignment="1"/>
    <xf numFmtId="0" fontId="32" fillId="0" borderId="3" xfId="0" applyFont="1" applyBorder="1" applyAlignment="1"/>
    <xf numFmtId="0" fontId="0" fillId="0" borderId="3" xfId="0" applyBorder="1" applyAlignment="1"/>
    <xf numFmtId="0" fontId="0" fillId="0" borderId="3" xfId="0" applyFont="1" applyBorder="1" applyAlignment="1"/>
    <xf numFmtId="0" fontId="1" fillId="0" borderId="22" xfId="0" applyFont="1" applyBorder="1" applyAlignment="1"/>
    <xf numFmtId="0" fontId="32" fillId="0" borderId="0" xfId="0" applyFont="1" applyBorder="1" applyAlignment="1"/>
    <xf numFmtId="0" fontId="0" fillId="0" borderId="0" xfId="0" applyBorder="1" applyAlignment="1"/>
    <xf numFmtId="0" fontId="1" fillId="0" borderId="0" xfId="0" applyFont="1" applyBorder="1" applyAlignment="1"/>
    <xf numFmtId="0" fontId="0" fillId="0" borderId="22" xfId="0" applyFont="1" applyBorder="1" applyAlignment="1"/>
    <xf numFmtId="1" fontId="0" fillId="0" borderId="0" xfId="0" applyNumberFormat="1" applyFont="1" applyBorder="1" applyAlignment="1"/>
    <xf numFmtId="0" fontId="0" fillId="0" borderId="23" xfId="0" applyFont="1" applyBorder="1" applyAlignment="1"/>
    <xf numFmtId="0" fontId="32" fillId="0" borderId="24" xfId="0" applyFont="1" applyBorder="1" applyAlignment="1"/>
    <xf numFmtId="0" fontId="0" fillId="0" borderId="24" xfId="0" applyBorder="1" applyAlignment="1"/>
    <xf numFmtId="1" fontId="0" fillId="0" borderId="24" xfId="0" applyNumberFormat="1" applyFont="1" applyBorder="1" applyAlignment="1"/>
    <xf numFmtId="0" fontId="0" fillId="0" borderId="25" xfId="0" applyFont="1" applyBorder="1" applyAlignment="1"/>
    <xf numFmtId="0" fontId="1" fillId="0" borderId="25" xfId="0" applyFont="1" applyBorder="1" applyAlignment="1"/>
    <xf numFmtId="1" fontId="0" fillId="0" borderId="25" xfId="0" applyNumberFormat="1" applyBorder="1" applyAlignment="1"/>
    <xf numFmtId="0" fontId="0" fillId="0" borderId="26" xfId="0" applyFont="1" applyBorder="1" applyAlignment="1"/>
    <xf numFmtId="0" fontId="0" fillId="0" borderId="27" xfId="0" applyBorder="1"/>
    <xf numFmtId="1" fontId="44" fillId="0" borderId="28" xfId="0" applyNumberFormat="1" applyFont="1" applyBorder="1" applyAlignment="1">
      <alignment horizontal="right"/>
    </xf>
    <xf numFmtId="0" fontId="1" fillId="0" borderId="28" xfId="0" applyFont="1" applyBorder="1" applyAlignment="1"/>
    <xf numFmtId="1" fontId="45" fillId="0" borderId="28" xfId="0" applyNumberFormat="1" applyFont="1" applyFill="1" applyBorder="1" applyAlignment="1">
      <alignment horizontal="center"/>
    </xf>
    <xf numFmtId="1" fontId="44" fillId="0" borderId="28" xfId="0" applyNumberFormat="1" applyFont="1" applyFill="1" applyBorder="1" applyAlignment="1">
      <alignment horizontal="center"/>
    </xf>
    <xf numFmtId="1" fontId="0" fillId="0" borderId="29" xfId="0" applyNumberFormat="1" applyBorder="1" applyAlignment="1"/>
    <xf numFmtId="1" fontId="44" fillId="0" borderId="30" xfId="0" applyNumberFormat="1" applyFont="1" applyFill="1" applyBorder="1" applyAlignment="1">
      <alignment horizontal="center"/>
    </xf>
    <xf numFmtId="0" fontId="1" fillId="0" borderId="31" xfId="0" applyFont="1" applyBorder="1" applyAlignment="1"/>
    <xf numFmtId="0" fontId="32" fillId="0" borderId="32" xfId="0" applyFont="1" applyBorder="1" applyAlignment="1"/>
    <xf numFmtId="0" fontId="0" fillId="0" borderId="32" xfId="0" applyBorder="1" applyAlignment="1"/>
    <xf numFmtId="1" fontId="0" fillId="0" borderId="32" xfId="0" applyNumberFormat="1" applyFont="1" applyBorder="1" applyAlignment="1"/>
    <xf numFmtId="1" fontId="0" fillId="0" borderId="33" xfId="0" applyNumberFormat="1" applyFont="1" applyBorder="1" applyAlignment="1"/>
    <xf numFmtId="2" fontId="0" fillId="0" borderId="32" xfId="0" applyNumberFormat="1" applyFont="1" applyBorder="1" applyAlignment="1"/>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10" fillId="8" borderId="0" xfId="0" applyFont="1" applyFill="1" applyAlignment="1">
      <alignment horizontal="center"/>
    </xf>
    <xf numFmtId="0" fontId="28" fillId="9" borderId="5" xfId="0" applyFont="1" applyFill="1" applyBorder="1" applyAlignment="1">
      <alignment horizontal="center"/>
    </xf>
    <xf numFmtId="0" fontId="28" fillId="9" borderId="1" xfId="0" applyFont="1" applyFill="1" applyBorder="1" applyAlignment="1">
      <alignment horizontal="center"/>
    </xf>
    <xf numFmtId="0" fontId="28" fillId="9" borderId="7" xfId="0" applyFont="1" applyFill="1" applyBorder="1" applyAlignment="1">
      <alignment horizontal="center"/>
    </xf>
    <xf numFmtId="0" fontId="28" fillId="4" borderId="12" xfId="0" applyFont="1" applyFill="1" applyBorder="1" applyAlignment="1">
      <alignment horizontal="center" wrapText="1"/>
    </xf>
    <xf numFmtId="0" fontId="28" fillId="4" borderId="13" xfId="0" applyFont="1" applyFill="1" applyBorder="1" applyAlignment="1">
      <alignment horizontal="center" wrapText="1"/>
    </xf>
    <xf numFmtId="0" fontId="28" fillId="4" borderId="14" xfId="0" applyFont="1" applyFill="1" applyBorder="1" applyAlignment="1">
      <alignment horizontal="center" wrapText="1"/>
    </xf>
    <xf numFmtId="0" fontId="0" fillId="10" borderId="0" xfId="0" applyFill="1" applyAlignment="1">
      <alignment horizontal="left" vertical="top" wrapText="1"/>
    </xf>
  </cellXfs>
  <cellStyles count="5">
    <cellStyle name="Komma" xfId="3" builtinId="3"/>
    <cellStyle name="Link" xfId="2" builtinId="8"/>
    <cellStyle name="Prozent" xfId="1" builtinId="5"/>
    <cellStyle name="Standard" xfId="0" builtinId="0"/>
    <cellStyle name="Standard_MMU-Analysetool" xfId="4"/>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89492"/>
      <color rgb="FFFF0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none" spc="0" normalizeH="0" baseline="0">
                <a:solidFill>
                  <a:schemeClr val="tx1">
                    <a:lumMod val="65000"/>
                    <a:lumOff val="35000"/>
                  </a:schemeClr>
                </a:solidFill>
                <a:latin typeface="+mj-lt"/>
                <a:ea typeface="+mj-ea"/>
                <a:cs typeface="+mj-cs"/>
              </a:defRPr>
            </a:pPr>
            <a:r>
              <a:rPr lang="de-CH" b="1"/>
              <a:t>Ecoscore [UCE]</a:t>
            </a:r>
          </a:p>
        </c:rich>
      </c:tx>
      <c:layout/>
      <c:overlay val="0"/>
      <c:spPr>
        <a:noFill/>
        <a:ln>
          <a:noFill/>
        </a:ln>
        <a:effectLst/>
      </c:spPr>
      <c:txPr>
        <a:bodyPr rot="0" spcFirstLastPara="1" vertOverflow="ellipsis" vert="horz" wrap="square" anchor="ctr" anchorCtr="1"/>
        <a:lstStyle/>
        <a:p>
          <a:pPr>
            <a:defRPr sz="2000" b="1" i="0" u="none" strike="noStrike" kern="1200" cap="none" spc="0" normalizeH="0" baseline="0">
              <a:solidFill>
                <a:schemeClr val="tx1">
                  <a:lumMod val="65000"/>
                  <a:lumOff val="35000"/>
                </a:schemeClr>
              </a:solidFill>
              <a:latin typeface="+mj-lt"/>
              <a:ea typeface="+mj-ea"/>
              <a:cs typeface="+mj-cs"/>
            </a:defRPr>
          </a:pPr>
          <a:endParaRPr lang="de-DE"/>
        </a:p>
      </c:txPr>
    </c:title>
    <c:autoTitleDeleted val="0"/>
    <c:plotArea>
      <c:layout>
        <c:manualLayout>
          <c:layoutTarget val="inner"/>
          <c:xMode val="edge"/>
          <c:yMode val="edge"/>
          <c:x val="3.3429246191469378E-2"/>
          <c:y val="4.2160075626404739E-2"/>
          <c:w val="0.96136063886078915"/>
          <c:h val="0.65015677132921268"/>
        </c:manualLayout>
      </c:layout>
      <c:stockChart>
        <c:ser>
          <c:idx val="0"/>
          <c:order val="0"/>
          <c:spPr>
            <a:ln w="25400" cap="rnd">
              <a:noFill/>
              <a:round/>
            </a:ln>
            <a:effectLst/>
          </c:spPr>
          <c:marker>
            <c:symbol val="circle"/>
            <c:size val="8"/>
            <c:spPr>
              <a:solidFill>
                <a:srgbClr val="00B050"/>
              </a:solidFill>
              <a:ln>
                <a:noFill/>
              </a:ln>
              <a:effectLst/>
            </c:spPr>
          </c:marker>
          <c:cat>
            <c:strRef>
              <c:f>'Liste et comparaison écogestes'!$C$3:$C$49</c:f>
              <c:strCache>
                <c:ptCount val="47"/>
                <c:pt idx="0">
                  <c:v>Paiement, e-banking, 1 paiement</c:v>
                </c:pt>
                <c:pt idx="1">
                  <c:v>Envoi email, 1 email, pièce jointe 1 Mo</c:v>
                </c:pt>
                <c:pt idx="2">
                  <c:v>Impression, noir et blanc, recto, 1 feuille A4</c:v>
                </c:pt>
                <c:pt idx="3">
                  <c:v>Ordinateur, usage bureautique, 1 h</c:v>
                </c:pt>
                <c:pt idx="4">
                  <c:v>Stockage, disque externe, 1000 photos, 1 an</c:v>
                </c:pt>
                <c:pt idx="5">
                  <c:v>Recherche, moteur de recherche, laptop, 100 recherches, 1 h</c:v>
                </c:pt>
                <c:pt idx="6">
                  <c:v>Stockage, cloud, 1000 photos, 1 an</c:v>
                </c:pt>
                <c:pt idx="7">
                  <c:v>Stockage, cloud, 1000 emails, 5 ans</c:v>
                </c:pt>
                <c:pt idx="8">
                  <c:v>Envoi email, 1000 emails, sans logo</c:v>
                </c:pt>
                <c:pt idx="9">
                  <c:v>Envoi email, 1000 emails, avec logo</c:v>
                </c:pt>
                <c:pt idx="10">
                  <c:v>Transmission, wifi, 1000 Mo</c:v>
                </c:pt>
                <c:pt idx="11">
                  <c:v>Transmission, wifi, 1 h</c:v>
                </c:pt>
                <c:pt idx="12">
                  <c:v>Transmission, fibre, 1000 Mo</c:v>
                </c:pt>
                <c:pt idx="13">
                  <c:v>Transmission, données mobiles, 1000 Mo</c:v>
                </c:pt>
                <c:pt idx="14">
                  <c:v>Discussion, par tele-conference, partage d'écran, SANS vidéo, 2 personnes, 1 h</c:v>
                </c:pt>
                <c:pt idx="15">
                  <c:v>Discussion, par tele-conference, partage d'écran, AVEC vidéo, 2 personnes, 1 h</c:v>
                </c:pt>
                <c:pt idx="16">
                  <c:v>Message texte, en ligne, 1 message</c:v>
                </c:pt>
                <c:pt idx="17">
                  <c:v>Appel, telephone portable, 1 h</c:v>
                </c:pt>
                <c:pt idx="18">
                  <c:v>Appel, telephone fixe, 1 h</c:v>
                </c:pt>
                <c:pt idx="19">
                  <c:v>Appel, telephone portable, whatsapp, 1 h</c:v>
                </c:pt>
                <c:pt idx="20">
                  <c:v>Message vocal, en ligne, whatsapp, 1 h</c:v>
                </c:pt>
                <c:pt idx="21">
                  <c:v>Transmission, 5G, 1000 Mo</c:v>
                </c:pt>
                <c:pt idx="22">
                  <c:v>Transmission, ADSL, 1000 Mo</c:v>
                </c:pt>
                <c:pt idx="23">
                  <c:v>Transmission, 4G, 1000 Mo</c:v>
                </c:pt>
                <c:pt idx="24">
                  <c:v>Eau bouillie, bouilloire, 1 L</c:v>
                </c:pt>
                <c:pt idx="25">
                  <c:v>Café, unité</c:v>
                </c:pt>
                <c:pt idx="26">
                  <c:v>Carottes suisses, cuites, 250 g</c:v>
                </c:pt>
                <c:pt idx="27">
                  <c:v>Chaussures, commande en ligne, une paire</c:v>
                </c:pt>
                <c:pt idx="28">
                  <c:v>Chaussures, achat en magasin, une paire</c:v>
                </c:pt>
                <c:pt idx="29">
                  <c:v>Entrecôte de boeuf suisse, 250 g</c:v>
                </c:pt>
                <c:pt idx="30">
                  <c:v>Chaussures, commande en ligne, trois paires, deux renvoyées et détruites</c:v>
                </c:pt>
                <c:pt idx="31">
                  <c:v>Lecture, newsletter mail, 300 ko, 10 min</c:v>
                </c:pt>
                <c:pt idx="32">
                  <c:v>Lecture, journal local, ordinateur, PDF téléchargé</c:v>
                </c:pt>
                <c:pt idx="33">
                  <c:v>Lecture, journal local, ordinateur, lecture en ligne</c:v>
                </c:pt>
                <c:pt idx="34">
                  <c:v>Lecture, journal local, papier</c:v>
                </c:pt>
                <c:pt idx="35">
                  <c:v>Lecture, roman e-book, 300 pages</c:v>
                </c:pt>
                <c:pt idx="36">
                  <c:v>Lecture, roman papier, achat en librairie, 300 pages</c:v>
                </c:pt>
                <c:pt idx="37">
                  <c:v>Lecture, roman papier, achat en ligne, 300 pages</c:v>
                </c:pt>
                <c:pt idx="38">
                  <c:v>Lecture, journal international, ordinateur, lecture en ligne</c:v>
                </c:pt>
                <c:pt idx="39">
                  <c:v>Lecture, journal international, papier</c:v>
                </c:pt>
                <c:pt idx="40">
                  <c:v>Ecoute, radio, live, FM, 1 h</c:v>
                </c:pt>
                <c:pt idx="41">
                  <c:v>Ecoute, musique, streaming, smartphone, 1 h</c:v>
                </c:pt>
                <c:pt idx="42">
                  <c:v>Video, streaming, smartphone, LD, 1 h</c:v>
                </c:pt>
                <c:pt idx="43">
                  <c:v>Ecoute, radio, live, laptop, 1 h</c:v>
                </c:pt>
                <c:pt idx="44">
                  <c:v>Ecoute, radio, replay, laptop, 1 h</c:v>
                </c:pt>
                <c:pt idx="45">
                  <c:v>Video, streaming, laptop, youtube, LD, 1 h</c:v>
                </c:pt>
                <c:pt idx="46">
                  <c:v>Video, live, smartphone, téléjournal, SD, 1 h</c:v>
                </c:pt>
              </c:strCache>
            </c:strRef>
          </c:cat>
          <c:val>
            <c:numRef>
              <c:f>'Liste et comparaison écogestes'!$H$3:$H$49</c:f>
              <c:numCache>
                <c:formatCode>0</c:formatCode>
                <c:ptCount val="47"/>
                <c:pt idx="0">
                  <c:v>4.5681808878244601</c:v>
                </c:pt>
                <c:pt idx="1">
                  <c:v>10.499639063324402</c:v>
                </c:pt>
                <c:pt idx="2">
                  <c:v>12.5922359177478</c:v>
                </c:pt>
                <c:pt idx="3">
                  <c:v>29.893633547256087</c:v>
                </c:pt>
                <c:pt idx="4">
                  <c:v>58.936062782308689</c:v>
                </c:pt>
                <c:pt idx="5">
                  <c:v>65.504203731589712</c:v>
                </c:pt>
                <c:pt idx="6">
                  <c:v>2385.129922564201</c:v>
                </c:pt>
                <c:pt idx="7">
                  <c:v>3101.5891657669667</c:v>
                </c:pt>
                <c:pt idx="8">
                  <c:v>7626.3133806981032</c:v>
                </c:pt>
                <c:pt idx="9">
                  <c:v>7694.5904610586485</c:v>
                </c:pt>
                <c:pt idx="10">
                  <c:v>1.2354844729472301</c:v>
                </c:pt>
                <c:pt idx="11">
                  <c:v>8.8954881776451415</c:v>
                </c:pt>
                <c:pt idx="12">
                  <c:v>23.447429895265422</c:v>
                </c:pt>
                <c:pt idx="13">
                  <c:v>88.23941135717611</c:v>
                </c:pt>
                <c:pt idx="14">
                  <c:v>88.318696496570112</c:v>
                </c:pt>
                <c:pt idx="15">
                  <c:v>115.08819806215908</c:v>
                </c:pt>
                <c:pt idx="16" formatCode="0.0">
                  <c:v>0.33099667958134404</c:v>
                </c:pt>
                <c:pt idx="17">
                  <c:v>11.977133861136949</c:v>
                </c:pt>
                <c:pt idx="18">
                  <c:v>13.465215331960669</c:v>
                </c:pt>
                <c:pt idx="19">
                  <c:v>13.93633574224204</c:v>
                </c:pt>
                <c:pt idx="20">
                  <c:v>15.2718451462299</c:v>
                </c:pt>
                <c:pt idx="21">
                  <c:v>29.744354649810532</c:v>
                </c:pt>
                <c:pt idx="22">
                  <c:v>63.609473438008408</c:v>
                </c:pt>
                <c:pt idx="23">
                  <c:v>292.97211279539545</c:v>
                </c:pt>
                <c:pt idx="24">
                  <c:v>67.467957083767303</c:v>
                </c:pt>
                <c:pt idx="25">
                  <c:v>395.68398394124301</c:v>
                </c:pt>
                <c:pt idx="26">
                  <c:v>980.50611467598947</c:v>
                </c:pt>
                <c:pt idx="27">
                  <c:v>21772.270294396087</c:v>
                </c:pt>
                <c:pt idx="28">
                  <c:v>22788.237501757012</c:v>
                </c:pt>
                <c:pt idx="29">
                  <c:v>27193.917519690509</c:v>
                </c:pt>
                <c:pt idx="30">
                  <c:v>65316.81096258825</c:v>
                </c:pt>
                <c:pt idx="31">
                  <c:v>7.8342110738352027</c:v>
                </c:pt>
                <c:pt idx="32">
                  <c:v>50.763252037322673</c:v>
                </c:pt>
                <c:pt idx="33">
                  <c:v>74.138500861070739</c:v>
                </c:pt>
                <c:pt idx="34">
                  <c:v>139.6695278322868</c:v>
                </c:pt>
                <c:pt idx="35">
                  <c:v>298.38669374595929</c:v>
                </c:pt>
                <c:pt idx="36">
                  <c:v>862.12903767869295</c:v>
                </c:pt>
                <c:pt idx="37">
                  <c:v>2254.4955109512716</c:v>
                </c:pt>
                <c:pt idx="38">
                  <c:v>74.138500861070739</c:v>
                </c:pt>
                <c:pt idx="39">
                  <c:v>937.170910924483</c:v>
                </c:pt>
                <c:pt idx="40">
                  <c:v>8.4566888560873181</c:v>
                </c:pt>
                <c:pt idx="41">
                  <c:v>24.68810649890937</c:v>
                </c:pt>
                <c:pt idx="42">
                  <c:v>33.512047632653974</c:v>
                </c:pt>
                <c:pt idx="43">
                  <c:v>46.352653807595956</c:v>
                </c:pt>
                <c:pt idx="44">
                  <c:v>55.413236272241924</c:v>
                </c:pt>
                <c:pt idx="45">
                  <c:v>63.045924441907516</c:v>
                </c:pt>
                <c:pt idx="46">
                  <c:v>72.124661835116797</c:v>
                </c:pt>
              </c:numCache>
            </c:numRef>
          </c:val>
          <c:smooth val="0"/>
          <c:extLst>
            <c:ext xmlns:c16="http://schemas.microsoft.com/office/drawing/2014/chart" uri="{C3380CC4-5D6E-409C-BE32-E72D297353CC}">
              <c16:uniqueId val="{00000000-ABFB-4484-9F79-D5ACC7C69F04}"/>
            </c:ext>
          </c:extLst>
        </c:ser>
        <c:ser>
          <c:idx val="1"/>
          <c:order val="1"/>
          <c:spPr>
            <a:ln w="25400" cap="rnd">
              <a:noFill/>
              <a:round/>
            </a:ln>
            <a:effectLst/>
          </c:spPr>
          <c:marker>
            <c:symbol val="dash"/>
            <c:size val="5"/>
            <c:spPr>
              <a:solidFill>
                <a:schemeClr val="tx1"/>
              </a:solidFill>
              <a:ln>
                <a:noFill/>
              </a:ln>
              <a:effectLst/>
            </c:spPr>
          </c:marker>
          <c:cat>
            <c:strRef>
              <c:f>'Liste et comparaison écogestes'!$C$3:$C$49</c:f>
              <c:strCache>
                <c:ptCount val="47"/>
                <c:pt idx="0">
                  <c:v>Paiement, e-banking, 1 paiement</c:v>
                </c:pt>
                <c:pt idx="1">
                  <c:v>Envoi email, 1 email, pièce jointe 1 Mo</c:v>
                </c:pt>
                <c:pt idx="2">
                  <c:v>Impression, noir et blanc, recto, 1 feuille A4</c:v>
                </c:pt>
                <c:pt idx="3">
                  <c:v>Ordinateur, usage bureautique, 1 h</c:v>
                </c:pt>
                <c:pt idx="4">
                  <c:v>Stockage, disque externe, 1000 photos, 1 an</c:v>
                </c:pt>
                <c:pt idx="5">
                  <c:v>Recherche, moteur de recherche, laptop, 100 recherches, 1 h</c:v>
                </c:pt>
                <c:pt idx="6">
                  <c:v>Stockage, cloud, 1000 photos, 1 an</c:v>
                </c:pt>
                <c:pt idx="7">
                  <c:v>Stockage, cloud, 1000 emails, 5 ans</c:v>
                </c:pt>
                <c:pt idx="8">
                  <c:v>Envoi email, 1000 emails, sans logo</c:v>
                </c:pt>
                <c:pt idx="9">
                  <c:v>Envoi email, 1000 emails, avec logo</c:v>
                </c:pt>
                <c:pt idx="10">
                  <c:v>Transmission, wifi, 1000 Mo</c:v>
                </c:pt>
                <c:pt idx="11">
                  <c:v>Transmission, wifi, 1 h</c:v>
                </c:pt>
                <c:pt idx="12">
                  <c:v>Transmission, fibre, 1000 Mo</c:v>
                </c:pt>
                <c:pt idx="13">
                  <c:v>Transmission, données mobiles, 1000 Mo</c:v>
                </c:pt>
                <c:pt idx="14">
                  <c:v>Discussion, par tele-conference, partage d'écran, SANS vidéo, 2 personnes, 1 h</c:v>
                </c:pt>
                <c:pt idx="15">
                  <c:v>Discussion, par tele-conference, partage d'écran, AVEC vidéo, 2 personnes, 1 h</c:v>
                </c:pt>
                <c:pt idx="16">
                  <c:v>Message texte, en ligne, 1 message</c:v>
                </c:pt>
                <c:pt idx="17">
                  <c:v>Appel, telephone portable, 1 h</c:v>
                </c:pt>
                <c:pt idx="18">
                  <c:v>Appel, telephone fixe, 1 h</c:v>
                </c:pt>
                <c:pt idx="19">
                  <c:v>Appel, telephone portable, whatsapp, 1 h</c:v>
                </c:pt>
                <c:pt idx="20">
                  <c:v>Message vocal, en ligne, whatsapp, 1 h</c:v>
                </c:pt>
                <c:pt idx="21">
                  <c:v>Transmission, 5G, 1000 Mo</c:v>
                </c:pt>
                <c:pt idx="22">
                  <c:v>Transmission, ADSL, 1000 Mo</c:v>
                </c:pt>
                <c:pt idx="23">
                  <c:v>Transmission, 4G, 1000 Mo</c:v>
                </c:pt>
                <c:pt idx="24">
                  <c:v>Eau bouillie, bouilloire, 1 L</c:v>
                </c:pt>
                <c:pt idx="25">
                  <c:v>Café, unité</c:v>
                </c:pt>
                <c:pt idx="26">
                  <c:v>Carottes suisses, cuites, 250 g</c:v>
                </c:pt>
                <c:pt idx="27">
                  <c:v>Chaussures, commande en ligne, une paire</c:v>
                </c:pt>
                <c:pt idx="28">
                  <c:v>Chaussures, achat en magasin, une paire</c:v>
                </c:pt>
                <c:pt idx="29">
                  <c:v>Entrecôte de boeuf suisse, 250 g</c:v>
                </c:pt>
                <c:pt idx="30">
                  <c:v>Chaussures, commande en ligne, trois paires, deux renvoyées et détruites</c:v>
                </c:pt>
                <c:pt idx="31">
                  <c:v>Lecture, newsletter mail, 300 ko, 10 min</c:v>
                </c:pt>
                <c:pt idx="32">
                  <c:v>Lecture, journal local, ordinateur, PDF téléchargé</c:v>
                </c:pt>
                <c:pt idx="33">
                  <c:v>Lecture, journal local, ordinateur, lecture en ligne</c:v>
                </c:pt>
                <c:pt idx="34">
                  <c:v>Lecture, journal local, papier</c:v>
                </c:pt>
                <c:pt idx="35">
                  <c:v>Lecture, roman e-book, 300 pages</c:v>
                </c:pt>
                <c:pt idx="36">
                  <c:v>Lecture, roman papier, achat en librairie, 300 pages</c:v>
                </c:pt>
                <c:pt idx="37">
                  <c:v>Lecture, roman papier, achat en ligne, 300 pages</c:v>
                </c:pt>
                <c:pt idx="38">
                  <c:v>Lecture, journal international, ordinateur, lecture en ligne</c:v>
                </c:pt>
                <c:pt idx="39">
                  <c:v>Lecture, journal international, papier</c:v>
                </c:pt>
                <c:pt idx="40">
                  <c:v>Ecoute, radio, live, FM, 1 h</c:v>
                </c:pt>
                <c:pt idx="41">
                  <c:v>Ecoute, musique, streaming, smartphone, 1 h</c:v>
                </c:pt>
                <c:pt idx="42">
                  <c:v>Video, streaming, smartphone, LD, 1 h</c:v>
                </c:pt>
                <c:pt idx="43">
                  <c:v>Ecoute, radio, live, laptop, 1 h</c:v>
                </c:pt>
                <c:pt idx="44">
                  <c:v>Ecoute, radio, replay, laptop, 1 h</c:v>
                </c:pt>
                <c:pt idx="45">
                  <c:v>Video, streaming, laptop, youtube, LD, 1 h</c:v>
                </c:pt>
                <c:pt idx="46">
                  <c:v>Video, live, smartphone, téléjournal, SD, 1 h</c:v>
                </c:pt>
              </c:strCache>
            </c:strRef>
          </c:cat>
          <c:val>
            <c:numRef>
              <c:f>'Liste et comparaison écogestes'!$K$3:$K$49</c:f>
              <c:numCache>
                <c:formatCode>0</c:formatCode>
                <c:ptCount val="47"/>
                <c:pt idx="0">
                  <c:v>2.28409044391223</c:v>
                </c:pt>
                <c:pt idx="1">
                  <c:v>5.2498195316622009</c:v>
                </c:pt>
                <c:pt idx="2">
                  <c:v>8.8145651424234597</c:v>
                </c:pt>
                <c:pt idx="3">
                  <c:v>20.925543483079259</c:v>
                </c:pt>
                <c:pt idx="4">
                  <c:v>29.468031391154344</c:v>
                </c:pt>
                <c:pt idx="5">
                  <c:v>32.752101865794856</c:v>
                </c:pt>
                <c:pt idx="6">
                  <c:v>596.28248064105026</c:v>
                </c:pt>
                <c:pt idx="7">
                  <c:v>775.39729144174169</c:v>
                </c:pt>
                <c:pt idx="8">
                  <c:v>3813.1566903490516</c:v>
                </c:pt>
                <c:pt idx="9">
                  <c:v>3847.2952305293243</c:v>
                </c:pt>
                <c:pt idx="10" formatCode="0.0000">
                  <c:v>0.86483913106306098</c:v>
                </c:pt>
                <c:pt idx="11">
                  <c:v>8.0059393598806281</c:v>
                </c:pt>
                <c:pt idx="12">
                  <c:v>11.723714947632711</c:v>
                </c:pt>
                <c:pt idx="13">
                  <c:v>44.119705678588055</c:v>
                </c:pt>
                <c:pt idx="14">
                  <c:v>61.82308754759908</c:v>
                </c:pt>
                <c:pt idx="15">
                  <c:v>69.052918837295437</c:v>
                </c:pt>
                <c:pt idx="24">
                  <c:v>53.974365667013842</c:v>
                </c:pt>
                <c:pt idx="25">
                  <c:v>276.97878875887011</c:v>
                </c:pt>
                <c:pt idx="26">
                  <c:v>490.25305733799473</c:v>
                </c:pt>
                <c:pt idx="27">
                  <c:v>10886.135147198043</c:v>
                </c:pt>
                <c:pt idx="28">
                  <c:v>11394.118750878506</c:v>
                </c:pt>
                <c:pt idx="29">
                  <c:v>13596.958759845254</c:v>
                </c:pt>
                <c:pt idx="30">
                  <c:v>32658.405481294125</c:v>
                </c:pt>
                <c:pt idx="31">
                  <c:v>3.9171055369176013</c:v>
                </c:pt>
                <c:pt idx="32">
                  <c:v>25.381626018661336</c:v>
                </c:pt>
                <c:pt idx="33">
                  <c:v>44.483100516642438</c:v>
                </c:pt>
                <c:pt idx="34">
                  <c:v>97.768669482600757</c:v>
                </c:pt>
                <c:pt idx="35">
                  <c:v>149.19334687297965</c:v>
                </c:pt>
                <c:pt idx="36">
                  <c:v>603.49032637508503</c:v>
                </c:pt>
                <c:pt idx="37">
                  <c:v>450.89910219025433</c:v>
                </c:pt>
                <c:pt idx="40">
                  <c:v>4.2283444280436591</c:v>
                </c:pt>
                <c:pt idx="41">
                  <c:v>12.344053249454685</c:v>
                </c:pt>
                <c:pt idx="42">
                  <c:v>16.756023816326987</c:v>
                </c:pt>
                <c:pt idx="43">
                  <c:v>23.176326903797978</c:v>
                </c:pt>
                <c:pt idx="44">
                  <c:v>27.706618136120962</c:v>
                </c:pt>
                <c:pt idx="45">
                  <c:v>31.522962220953758</c:v>
                </c:pt>
                <c:pt idx="46">
                  <c:v>36.062330917558398</c:v>
                </c:pt>
              </c:numCache>
            </c:numRef>
          </c:val>
          <c:smooth val="0"/>
          <c:extLst>
            <c:ext xmlns:c16="http://schemas.microsoft.com/office/drawing/2014/chart" uri="{C3380CC4-5D6E-409C-BE32-E72D297353CC}">
              <c16:uniqueId val="{00000001-ABFB-4484-9F79-D5ACC7C69F04}"/>
            </c:ext>
          </c:extLst>
        </c:ser>
        <c:ser>
          <c:idx val="2"/>
          <c:order val="2"/>
          <c:spPr>
            <a:ln w="25400" cap="rnd">
              <a:noFill/>
              <a:round/>
            </a:ln>
            <a:effectLst/>
          </c:spPr>
          <c:marker>
            <c:symbol val="dash"/>
            <c:size val="5"/>
            <c:spPr>
              <a:solidFill>
                <a:schemeClr val="tx1"/>
              </a:solidFill>
              <a:ln>
                <a:noFill/>
              </a:ln>
              <a:effectLst/>
            </c:spPr>
          </c:marker>
          <c:cat>
            <c:strRef>
              <c:f>'Liste et comparaison écogestes'!$C$3:$C$49</c:f>
              <c:strCache>
                <c:ptCount val="47"/>
                <c:pt idx="0">
                  <c:v>Paiement, e-banking, 1 paiement</c:v>
                </c:pt>
                <c:pt idx="1">
                  <c:v>Envoi email, 1 email, pièce jointe 1 Mo</c:v>
                </c:pt>
                <c:pt idx="2">
                  <c:v>Impression, noir et blanc, recto, 1 feuille A4</c:v>
                </c:pt>
                <c:pt idx="3">
                  <c:v>Ordinateur, usage bureautique, 1 h</c:v>
                </c:pt>
                <c:pt idx="4">
                  <c:v>Stockage, disque externe, 1000 photos, 1 an</c:v>
                </c:pt>
                <c:pt idx="5">
                  <c:v>Recherche, moteur de recherche, laptop, 100 recherches, 1 h</c:v>
                </c:pt>
                <c:pt idx="6">
                  <c:v>Stockage, cloud, 1000 photos, 1 an</c:v>
                </c:pt>
                <c:pt idx="7">
                  <c:v>Stockage, cloud, 1000 emails, 5 ans</c:v>
                </c:pt>
                <c:pt idx="8">
                  <c:v>Envoi email, 1000 emails, sans logo</c:v>
                </c:pt>
                <c:pt idx="9">
                  <c:v>Envoi email, 1000 emails, avec logo</c:v>
                </c:pt>
                <c:pt idx="10">
                  <c:v>Transmission, wifi, 1000 Mo</c:v>
                </c:pt>
                <c:pt idx="11">
                  <c:v>Transmission, wifi, 1 h</c:v>
                </c:pt>
                <c:pt idx="12">
                  <c:v>Transmission, fibre, 1000 Mo</c:v>
                </c:pt>
                <c:pt idx="13">
                  <c:v>Transmission, données mobiles, 1000 Mo</c:v>
                </c:pt>
                <c:pt idx="14">
                  <c:v>Discussion, par tele-conference, partage d'écran, SANS vidéo, 2 personnes, 1 h</c:v>
                </c:pt>
                <c:pt idx="15">
                  <c:v>Discussion, par tele-conference, partage d'écran, AVEC vidéo, 2 personnes, 1 h</c:v>
                </c:pt>
                <c:pt idx="16">
                  <c:v>Message texte, en ligne, 1 message</c:v>
                </c:pt>
                <c:pt idx="17">
                  <c:v>Appel, telephone portable, 1 h</c:v>
                </c:pt>
                <c:pt idx="18">
                  <c:v>Appel, telephone fixe, 1 h</c:v>
                </c:pt>
                <c:pt idx="19">
                  <c:v>Appel, telephone portable, whatsapp, 1 h</c:v>
                </c:pt>
                <c:pt idx="20">
                  <c:v>Message vocal, en ligne, whatsapp, 1 h</c:v>
                </c:pt>
                <c:pt idx="21">
                  <c:v>Transmission, 5G, 1000 Mo</c:v>
                </c:pt>
                <c:pt idx="22">
                  <c:v>Transmission, ADSL, 1000 Mo</c:v>
                </c:pt>
                <c:pt idx="23">
                  <c:v>Transmission, 4G, 1000 Mo</c:v>
                </c:pt>
                <c:pt idx="24">
                  <c:v>Eau bouillie, bouilloire, 1 L</c:v>
                </c:pt>
                <c:pt idx="25">
                  <c:v>Café, unité</c:v>
                </c:pt>
                <c:pt idx="26">
                  <c:v>Carottes suisses, cuites, 250 g</c:v>
                </c:pt>
                <c:pt idx="27">
                  <c:v>Chaussures, commande en ligne, une paire</c:v>
                </c:pt>
                <c:pt idx="28">
                  <c:v>Chaussures, achat en magasin, une paire</c:v>
                </c:pt>
                <c:pt idx="29">
                  <c:v>Entrecôte de boeuf suisse, 250 g</c:v>
                </c:pt>
                <c:pt idx="30">
                  <c:v>Chaussures, commande en ligne, trois paires, deux renvoyées et détruites</c:v>
                </c:pt>
                <c:pt idx="31">
                  <c:v>Lecture, newsletter mail, 300 ko, 10 min</c:v>
                </c:pt>
                <c:pt idx="32">
                  <c:v>Lecture, journal local, ordinateur, PDF téléchargé</c:v>
                </c:pt>
                <c:pt idx="33">
                  <c:v>Lecture, journal local, ordinateur, lecture en ligne</c:v>
                </c:pt>
                <c:pt idx="34">
                  <c:v>Lecture, journal local, papier</c:v>
                </c:pt>
                <c:pt idx="35">
                  <c:v>Lecture, roman e-book, 300 pages</c:v>
                </c:pt>
                <c:pt idx="36">
                  <c:v>Lecture, roman papier, achat en librairie, 300 pages</c:v>
                </c:pt>
                <c:pt idx="37">
                  <c:v>Lecture, roman papier, achat en ligne, 300 pages</c:v>
                </c:pt>
                <c:pt idx="38">
                  <c:v>Lecture, journal international, ordinateur, lecture en ligne</c:v>
                </c:pt>
                <c:pt idx="39">
                  <c:v>Lecture, journal international, papier</c:v>
                </c:pt>
                <c:pt idx="40">
                  <c:v>Ecoute, radio, live, FM, 1 h</c:v>
                </c:pt>
                <c:pt idx="41">
                  <c:v>Ecoute, musique, streaming, smartphone, 1 h</c:v>
                </c:pt>
                <c:pt idx="42">
                  <c:v>Video, streaming, smartphone, LD, 1 h</c:v>
                </c:pt>
                <c:pt idx="43">
                  <c:v>Ecoute, radio, live, laptop, 1 h</c:v>
                </c:pt>
                <c:pt idx="44">
                  <c:v>Ecoute, radio, replay, laptop, 1 h</c:v>
                </c:pt>
                <c:pt idx="45">
                  <c:v>Video, streaming, laptop, youtube, LD, 1 h</c:v>
                </c:pt>
                <c:pt idx="46">
                  <c:v>Video, live, smartphone, téléjournal, SD, 1 h</c:v>
                </c:pt>
              </c:strCache>
            </c:strRef>
          </c:cat>
          <c:val>
            <c:numRef>
              <c:f>'Liste et comparaison écogestes'!$L$3:$L$49</c:f>
              <c:numCache>
                <c:formatCode>0</c:formatCode>
                <c:ptCount val="47"/>
                <c:pt idx="0">
                  <c:v>6.8522713317366897</c:v>
                </c:pt>
                <c:pt idx="1">
                  <c:v>20.999278126648804</c:v>
                </c:pt>
                <c:pt idx="2">
                  <c:v>16.369906693072139</c:v>
                </c:pt>
                <c:pt idx="3">
                  <c:v>38.861723611432915</c:v>
                </c:pt>
                <c:pt idx="4">
                  <c:v>88.404094173463037</c:v>
                </c:pt>
                <c:pt idx="5">
                  <c:v>98.256305597384568</c:v>
                </c:pt>
                <c:pt idx="6">
                  <c:v>9540.5196902568041</c:v>
                </c:pt>
                <c:pt idx="7">
                  <c:v>12406.356663067867</c:v>
                </c:pt>
                <c:pt idx="8">
                  <c:v>15252.626761396206</c:v>
                </c:pt>
                <c:pt idx="9">
                  <c:v>15389.180922117297</c:v>
                </c:pt>
                <c:pt idx="10" formatCode="0.0000">
                  <c:v>1.6061298148313992</c:v>
                </c:pt>
                <c:pt idx="11">
                  <c:v>9.785036995409655</c:v>
                </c:pt>
                <c:pt idx="12">
                  <c:v>46.894859790530845</c:v>
                </c:pt>
                <c:pt idx="13">
                  <c:v>176.47882271435222</c:v>
                </c:pt>
                <c:pt idx="14">
                  <c:v>114.81430544554115</c:v>
                </c:pt>
                <c:pt idx="15">
                  <c:v>161.12347728702272</c:v>
                </c:pt>
                <c:pt idx="24">
                  <c:v>80.961548500520763</c:v>
                </c:pt>
                <c:pt idx="25">
                  <c:v>514.38917912361592</c:v>
                </c:pt>
                <c:pt idx="26">
                  <c:v>1961.0122293519789</c:v>
                </c:pt>
                <c:pt idx="27">
                  <c:v>32658.405441594128</c:v>
                </c:pt>
                <c:pt idx="28">
                  <c:v>34182.356252635516</c:v>
                </c:pt>
                <c:pt idx="29">
                  <c:v>54387.835039381018</c:v>
                </c:pt>
                <c:pt idx="30">
                  <c:v>97975.216443882382</c:v>
                </c:pt>
                <c:pt idx="31">
                  <c:v>11.751316610752804</c:v>
                </c:pt>
                <c:pt idx="32">
                  <c:v>76.144878055984009</c:v>
                </c:pt>
                <c:pt idx="33">
                  <c:v>103.79390120549904</c:v>
                </c:pt>
                <c:pt idx="34">
                  <c:v>181.57038618197285</c:v>
                </c:pt>
                <c:pt idx="35">
                  <c:v>596.77338749191858</c:v>
                </c:pt>
                <c:pt idx="36">
                  <c:v>1120.7677489823009</c:v>
                </c:pt>
                <c:pt idx="37">
                  <c:v>11272.477554756359</c:v>
                </c:pt>
                <c:pt idx="40">
                  <c:v>16.913377712174636</c:v>
                </c:pt>
                <c:pt idx="41">
                  <c:v>37.032159748364052</c:v>
                </c:pt>
                <c:pt idx="42">
                  <c:v>67.024095265307949</c:v>
                </c:pt>
                <c:pt idx="43">
                  <c:v>69.528980711393928</c:v>
                </c:pt>
                <c:pt idx="44">
                  <c:v>83.119854408362883</c:v>
                </c:pt>
                <c:pt idx="45">
                  <c:v>126.09184888381503</c:v>
                </c:pt>
                <c:pt idx="46">
                  <c:v>144.24932367023359</c:v>
                </c:pt>
              </c:numCache>
            </c:numRef>
          </c:val>
          <c:smooth val="0"/>
          <c:extLst>
            <c:ext xmlns:c16="http://schemas.microsoft.com/office/drawing/2014/chart" uri="{C3380CC4-5D6E-409C-BE32-E72D297353CC}">
              <c16:uniqueId val="{00000002-ABFB-4484-9F79-D5ACC7C69F04}"/>
            </c:ext>
          </c:extLst>
        </c:ser>
        <c:dLbls>
          <c:showLegendKey val="0"/>
          <c:showVal val="0"/>
          <c:showCatName val="0"/>
          <c:showSerName val="0"/>
          <c:showPercent val="0"/>
          <c:showBubbleSize val="0"/>
        </c:dLbls>
        <c:hiLowLines>
          <c:spPr>
            <a:ln w="25400" cap="flat" cmpd="sng" algn="ctr">
              <a:solidFill>
                <a:schemeClr val="tx1">
                  <a:lumMod val="65000"/>
                  <a:lumOff val="35000"/>
                </a:schemeClr>
              </a:solidFill>
              <a:round/>
            </a:ln>
            <a:effectLst/>
          </c:spPr>
        </c:hiLowLines>
        <c:axId val="638097768"/>
        <c:axId val="638095800"/>
      </c:stockChart>
      <c:catAx>
        <c:axId val="638097768"/>
        <c:scaling>
          <c:orientation val="minMax"/>
        </c:scaling>
        <c:delete val="0"/>
        <c:axPos val="b"/>
        <c:numFmt formatCode="General" sourceLinked="1"/>
        <c:majorTickMark val="none"/>
        <c:minorTickMark val="none"/>
        <c:tickLblPos val="nextTo"/>
        <c:spPr>
          <a:noFill/>
          <a:ln w="9525" cap="flat" cmpd="sng" algn="ctr">
            <a:solidFill>
              <a:schemeClr val="tx1">
                <a:lumMod val="35000"/>
                <a:lumOff val="6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de-DE"/>
          </a:p>
        </c:txPr>
        <c:crossAx val="638095800"/>
        <c:crossesAt val="0.1"/>
        <c:auto val="1"/>
        <c:lblAlgn val="ctr"/>
        <c:lblOffset val="100"/>
        <c:noMultiLvlLbl val="0"/>
      </c:catAx>
      <c:valAx>
        <c:axId val="638095800"/>
        <c:scaling>
          <c:orientation val="minMax"/>
          <c:max val="3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de-DE"/>
          </a:p>
        </c:txPr>
        <c:crossAx val="638097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none" spc="0" normalizeH="0" baseline="0">
                <a:solidFill>
                  <a:schemeClr val="tx1">
                    <a:lumMod val="65000"/>
                    <a:lumOff val="35000"/>
                  </a:schemeClr>
                </a:solidFill>
                <a:latin typeface="+mj-lt"/>
                <a:ea typeface="+mj-ea"/>
                <a:cs typeface="+mj-cs"/>
              </a:defRPr>
            </a:pPr>
            <a:r>
              <a:rPr lang="de-CH" b="1"/>
              <a:t>Empreinte Carbone [CO2</a:t>
            </a:r>
            <a:r>
              <a:rPr lang="de-CH" b="1" baseline="0"/>
              <a:t> en kg]</a:t>
            </a:r>
            <a:endParaRPr lang="de-CH" b="1"/>
          </a:p>
        </c:rich>
      </c:tx>
      <c:layout/>
      <c:overlay val="0"/>
      <c:spPr>
        <a:noFill/>
        <a:ln>
          <a:noFill/>
        </a:ln>
        <a:effectLst/>
      </c:spPr>
      <c:txPr>
        <a:bodyPr rot="0" spcFirstLastPara="1" vertOverflow="ellipsis" vert="horz" wrap="square" anchor="ctr" anchorCtr="1"/>
        <a:lstStyle/>
        <a:p>
          <a:pPr>
            <a:defRPr sz="2000" b="1" i="0" u="none" strike="noStrike" kern="1200" cap="none" spc="0" normalizeH="0" baseline="0">
              <a:solidFill>
                <a:schemeClr val="tx1">
                  <a:lumMod val="65000"/>
                  <a:lumOff val="35000"/>
                </a:schemeClr>
              </a:solidFill>
              <a:latin typeface="+mj-lt"/>
              <a:ea typeface="+mj-ea"/>
              <a:cs typeface="+mj-cs"/>
            </a:defRPr>
          </a:pPr>
          <a:endParaRPr lang="de-DE"/>
        </a:p>
      </c:txPr>
    </c:title>
    <c:autoTitleDeleted val="0"/>
    <c:plotArea>
      <c:layout>
        <c:manualLayout>
          <c:layoutTarget val="inner"/>
          <c:xMode val="edge"/>
          <c:yMode val="edge"/>
          <c:x val="3.3429246191469378E-2"/>
          <c:y val="4.2160075626404739E-2"/>
          <c:w val="0.96136063886078915"/>
          <c:h val="0.65015677132921268"/>
        </c:manualLayout>
      </c:layout>
      <c:stockChart>
        <c:ser>
          <c:idx val="0"/>
          <c:order val="0"/>
          <c:spPr>
            <a:ln w="25400" cap="rnd">
              <a:noFill/>
              <a:round/>
            </a:ln>
            <a:effectLst/>
          </c:spPr>
          <c:marker>
            <c:symbol val="circle"/>
            <c:size val="8"/>
            <c:spPr>
              <a:solidFill>
                <a:srgbClr val="00B050"/>
              </a:solidFill>
              <a:ln>
                <a:noFill/>
              </a:ln>
              <a:effectLst/>
            </c:spPr>
          </c:marker>
          <c:cat>
            <c:strRef>
              <c:f>'Liste et comparaison écogestes'!$C$3:$C$49</c:f>
              <c:strCache>
                <c:ptCount val="47"/>
                <c:pt idx="0">
                  <c:v>Paiement, e-banking, 1 paiement</c:v>
                </c:pt>
                <c:pt idx="1">
                  <c:v>Envoi email, 1 email, pièce jointe 1 Mo</c:v>
                </c:pt>
                <c:pt idx="2">
                  <c:v>Impression, noir et blanc, recto, 1 feuille A4</c:v>
                </c:pt>
                <c:pt idx="3">
                  <c:v>Ordinateur, usage bureautique, 1 h</c:v>
                </c:pt>
                <c:pt idx="4">
                  <c:v>Stockage, disque externe, 1000 photos, 1 an</c:v>
                </c:pt>
                <c:pt idx="5">
                  <c:v>Recherche, moteur de recherche, laptop, 100 recherches, 1 h</c:v>
                </c:pt>
                <c:pt idx="6">
                  <c:v>Stockage, cloud, 1000 photos, 1 an</c:v>
                </c:pt>
                <c:pt idx="7">
                  <c:v>Stockage, cloud, 1000 emails, 5 ans</c:v>
                </c:pt>
                <c:pt idx="8">
                  <c:v>Envoi email, 1000 emails, sans logo</c:v>
                </c:pt>
                <c:pt idx="9">
                  <c:v>Envoi email, 1000 emails, avec logo</c:v>
                </c:pt>
                <c:pt idx="10">
                  <c:v>Transmission, wifi, 1000 Mo</c:v>
                </c:pt>
                <c:pt idx="11">
                  <c:v>Transmission, wifi, 1 h</c:v>
                </c:pt>
                <c:pt idx="12">
                  <c:v>Transmission, fibre, 1000 Mo</c:v>
                </c:pt>
                <c:pt idx="13">
                  <c:v>Transmission, données mobiles, 1000 Mo</c:v>
                </c:pt>
                <c:pt idx="14">
                  <c:v>Discussion, par tele-conference, partage d'écran, SANS vidéo, 2 personnes, 1 h</c:v>
                </c:pt>
                <c:pt idx="15">
                  <c:v>Discussion, par tele-conference, partage d'écran, AVEC vidéo, 2 personnes, 1 h</c:v>
                </c:pt>
                <c:pt idx="16">
                  <c:v>Message texte, en ligne, 1 message</c:v>
                </c:pt>
                <c:pt idx="17">
                  <c:v>Appel, telephone portable, 1 h</c:v>
                </c:pt>
                <c:pt idx="18">
                  <c:v>Appel, telephone fixe, 1 h</c:v>
                </c:pt>
                <c:pt idx="19">
                  <c:v>Appel, telephone portable, whatsapp, 1 h</c:v>
                </c:pt>
                <c:pt idx="20">
                  <c:v>Message vocal, en ligne, whatsapp, 1 h</c:v>
                </c:pt>
                <c:pt idx="21">
                  <c:v>Transmission, 5G, 1000 Mo</c:v>
                </c:pt>
                <c:pt idx="22">
                  <c:v>Transmission, ADSL, 1000 Mo</c:v>
                </c:pt>
                <c:pt idx="23">
                  <c:v>Transmission, 4G, 1000 Mo</c:v>
                </c:pt>
                <c:pt idx="24">
                  <c:v>Eau bouillie, bouilloire, 1 L</c:v>
                </c:pt>
                <c:pt idx="25">
                  <c:v>Café, unité</c:v>
                </c:pt>
                <c:pt idx="26">
                  <c:v>Carottes suisses, cuites, 250 g</c:v>
                </c:pt>
                <c:pt idx="27">
                  <c:v>Chaussures, commande en ligne, une paire</c:v>
                </c:pt>
                <c:pt idx="28">
                  <c:v>Chaussures, achat en magasin, une paire</c:v>
                </c:pt>
                <c:pt idx="29">
                  <c:v>Entrecôte de boeuf suisse, 250 g</c:v>
                </c:pt>
                <c:pt idx="30">
                  <c:v>Chaussures, commande en ligne, trois paires, deux renvoyées et détruites</c:v>
                </c:pt>
                <c:pt idx="31">
                  <c:v>Lecture, newsletter mail, 300 ko, 10 min</c:v>
                </c:pt>
                <c:pt idx="32">
                  <c:v>Lecture, journal local, ordinateur, PDF téléchargé</c:v>
                </c:pt>
                <c:pt idx="33">
                  <c:v>Lecture, journal local, ordinateur, lecture en ligne</c:v>
                </c:pt>
                <c:pt idx="34">
                  <c:v>Lecture, journal local, papier</c:v>
                </c:pt>
                <c:pt idx="35">
                  <c:v>Lecture, roman e-book, 300 pages</c:v>
                </c:pt>
                <c:pt idx="36">
                  <c:v>Lecture, roman papier, achat en librairie, 300 pages</c:v>
                </c:pt>
                <c:pt idx="37">
                  <c:v>Lecture, roman papier, achat en ligne, 300 pages</c:v>
                </c:pt>
                <c:pt idx="38">
                  <c:v>Lecture, journal international, ordinateur, lecture en ligne</c:v>
                </c:pt>
                <c:pt idx="39">
                  <c:v>Lecture, journal international, papier</c:v>
                </c:pt>
                <c:pt idx="40">
                  <c:v>Ecoute, radio, live, FM, 1 h</c:v>
                </c:pt>
                <c:pt idx="41">
                  <c:v>Ecoute, musique, streaming, smartphone, 1 h</c:v>
                </c:pt>
                <c:pt idx="42">
                  <c:v>Video, streaming, smartphone, LD, 1 h</c:v>
                </c:pt>
                <c:pt idx="43">
                  <c:v>Ecoute, radio, live, laptop, 1 h</c:v>
                </c:pt>
                <c:pt idx="44">
                  <c:v>Ecoute, radio, replay, laptop, 1 h</c:v>
                </c:pt>
                <c:pt idx="45">
                  <c:v>Video, streaming, laptop, youtube, LD, 1 h</c:v>
                </c:pt>
                <c:pt idx="46">
                  <c:v>Video, live, smartphone, téléjournal, SD, 1 h</c:v>
                </c:pt>
              </c:strCache>
            </c:strRef>
          </c:cat>
          <c:val>
            <c:numRef>
              <c:f>'Liste et comparaison écogestes'!$G$3:$G$49</c:f>
              <c:numCache>
                <c:formatCode>0.000</c:formatCode>
                <c:ptCount val="47"/>
                <c:pt idx="0">
                  <c:v>3.19302E-3</c:v>
                </c:pt>
                <c:pt idx="1">
                  <c:v>8.1682391000000003E-3</c:v>
                </c:pt>
                <c:pt idx="2">
                  <c:v>6.8896838E-3</c:v>
                </c:pt>
                <c:pt idx="3">
                  <c:v>1.5912835E-2</c:v>
                </c:pt>
                <c:pt idx="4">
                  <c:v>3.7867954000000002E-2</c:v>
                </c:pt>
                <c:pt idx="5">
                  <c:v>4.7456012999999998E-2</c:v>
                </c:pt>
                <c:pt idx="6">
                  <c:v>2.109</c:v>
                </c:pt>
                <c:pt idx="7">
                  <c:v>2.75</c:v>
                </c:pt>
                <c:pt idx="8">
                  <c:v>5.6204077000000003</c:v>
                </c:pt>
                <c:pt idx="9">
                  <c:v>5.6809501999999998</c:v>
                </c:pt>
                <c:pt idx="10">
                  <c:v>1.2074647999999999E-3</c:v>
                </c:pt>
                <c:pt idx="11">
                  <c:v>8.6937461999999997E-3</c:v>
                </c:pt>
                <c:pt idx="12">
                  <c:v>2.3422274999999999E-2</c:v>
                </c:pt>
                <c:pt idx="13">
                  <c:v>8.7977629000000002E-2</c:v>
                </c:pt>
                <c:pt idx="14">
                  <c:v>5.8967672999999998E-2</c:v>
                </c:pt>
                <c:pt idx="15">
                  <c:v>8.2431844000000004E-2</c:v>
                </c:pt>
                <c:pt idx="16" formatCode="0.0000">
                  <c:v>2.3910058E-4</c:v>
                </c:pt>
                <c:pt idx="17">
                  <c:v>9.2205654000000001E-3</c:v>
                </c:pt>
                <c:pt idx="18">
                  <c:v>1.3372922000000001E-2</c:v>
                </c:pt>
                <c:pt idx="19">
                  <c:v>1.1167678E-2</c:v>
                </c:pt>
                <c:pt idx="20">
                  <c:v>1.2499263E-2</c:v>
                </c:pt>
                <c:pt idx="21">
                  <c:v>2.9473590000000001E-2</c:v>
                </c:pt>
                <c:pt idx="22">
                  <c:v>5.3944858999999998E-2</c:v>
                </c:pt>
                <c:pt idx="23">
                  <c:v>0.29274176000000002</c:v>
                </c:pt>
                <c:pt idx="24">
                  <c:v>6.4807813000000006E-2</c:v>
                </c:pt>
                <c:pt idx="25">
                  <c:v>0.12650078000000001</c:v>
                </c:pt>
                <c:pt idx="26">
                  <c:v>0.25401742999999999</c:v>
                </c:pt>
                <c:pt idx="27">
                  <c:v>10.735939</c:v>
                </c:pt>
                <c:pt idx="28">
                  <c:v>11.481553</c:v>
                </c:pt>
                <c:pt idx="29">
                  <c:v>14.265369</c:v>
                </c:pt>
                <c:pt idx="30">
                  <c:v>32.207816999999999</c:v>
                </c:pt>
                <c:pt idx="31">
                  <c:v>5.3150000000000003E-3</c:v>
                </c:pt>
                <c:pt idx="32">
                  <c:v>3.5199714999999999E-2</c:v>
                </c:pt>
                <c:pt idx="33">
                  <c:v>5.5192583000000003E-2</c:v>
                </c:pt>
                <c:pt idx="34">
                  <c:v>0.10280913999999999</c:v>
                </c:pt>
                <c:pt idx="35">
                  <c:v>0.15890000000000001</c:v>
                </c:pt>
                <c:pt idx="36">
                  <c:v>0.51648035999999997</c:v>
                </c:pt>
                <c:pt idx="37">
                  <c:v>2.8064467</c:v>
                </c:pt>
                <c:pt idx="38">
                  <c:v>5.5192583000000003E-2</c:v>
                </c:pt>
                <c:pt idx="39">
                  <c:v>1.4641096</c:v>
                </c:pt>
                <c:pt idx="40">
                  <c:v>9.9516740000000006E-3</c:v>
                </c:pt>
                <c:pt idx="41">
                  <c:v>2.2048029E-2</c:v>
                </c:pt>
                <c:pt idx="42">
                  <c:v>3.0845792E-2</c:v>
                </c:pt>
                <c:pt idx="43">
                  <c:v>3.1121656000000001E-2</c:v>
                </c:pt>
                <c:pt idx="44">
                  <c:v>3.9125422999999999E-2</c:v>
                </c:pt>
                <c:pt idx="45">
                  <c:v>4.5695101000000002E-2</c:v>
                </c:pt>
                <c:pt idx="46">
                  <c:v>7.0093205000000006E-2</c:v>
                </c:pt>
              </c:numCache>
            </c:numRef>
          </c:val>
          <c:smooth val="0"/>
          <c:extLst>
            <c:ext xmlns:c16="http://schemas.microsoft.com/office/drawing/2014/chart" uri="{C3380CC4-5D6E-409C-BE32-E72D297353CC}">
              <c16:uniqueId val="{00000000-8F2B-4A18-89EB-7AA66E596964}"/>
            </c:ext>
          </c:extLst>
        </c:ser>
        <c:ser>
          <c:idx val="1"/>
          <c:order val="1"/>
          <c:spPr>
            <a:ln w="25400" cap="rnd">
              <a:noFill/>
              <a:round/>
            </a:ln>
            <a:effectLst/>
          </c:spPr>
          <c:marker>
            <c:symbol val="dash"/>
            <c:size val="5"/>
            <c:spPr>
              <a:solidFill>
                <a:srgbClr val="002060"/>
              </a:solidFill>
              <a:ln>
                <a:noFill/>
              </a:ln>
              <a:effectLst/>
            </c:spPr>
          </c:marker>
          <c:cat>
            <c:strRef>
              <c:f>'Liste et comparaison écogestes'!$C$3:$C$49</c:f>
              <c:strCache>
                <c:ptCount val="47"/>
                <c:pt idx="0">
                  <c:v>Paiement, e-banking, 1 paiement</c:v>
                </c:pt>
                <c:pt idx="1">
                  <c:v>Envoi email, 1 email, pièce jointe 1 Mo</c:v>
                </c:pt>
                <c:pt idx="2">
                  <c:v>Impression, noir et blanc, recto, 1 feuille A4</c:v>
                </c:pt>
                <c:pt idx="3">
                  <c:v>Ordinateur, usage bureautique, 1 h</c:v>
                </c:pt>
                <c:pt idx="4">
                  <c:v>Stockage, disque externe, 1000 photos, 1 an</c:v>
                </c:pt>
                <c:pt idx="5">
                  <c:v>Recherche, moteur de recherche, laptop, 100 recherches, 1 h</c:v>
                </c:pt>
                <c:pt idx="6">
                  <c:v>Stockage, cloud, 1000 photos, 1 an</c:v>
                </c:pt>
                <c:pt idx="7">
                  <c:v>Stockage, cloud, 1000 emails, 5 ans</c:v>
                </c:pt>
                <c:pt idx="8">
                  <c:v>Envoi email, 1000 emails, sans logo</c:v>
                </c:pt>
                <c:pt idx="9">
                  <c:v>Envoi email, 1000 emails, avec logo</c:v>
                </c:pt>
                <c:pt idx="10">
                  <c:v>Transmission, wifi, 1000 Mo</c:v>
                </c:pt>
                <c:pt idx="11">
                  <c:v>Transmission, wifi, 1 h</c:v>
                </c:pt>
                <c:pt idx="12">
                  <c:v>Transmission, fibre, 1000 Mo</c:v>
                </c:pt>
                <c:pt idx="13">
                  <c:v>Transmission, données mobiles, 1000 Mo</c:v>
                </c:pt>
                <c:pt idx="14">
                  <c:v>Discussion, par tele-conference, partage d'écran, SANS vidéo, 2 personnes, 1 h</c:v>
                </c:pt>
                <c:pt idx="15">
                  <c:v>Discussion, par tele-conference, partage d'écran, AVEC vidéo, 2 personnes, 1 h</c:v>
                </c:pt>
                <c:pt idx="16">
                  <c:v>Message texte, en ligne, 1 message</c:v>
                </c:pt>
                <c:pt idx="17">
                  <c:v>Appel, telephone portable, 1 h</c:v>
                </c:pt>
                <c:pt idx="18">
                  <c:v>Appel, telephone fixe, 1 h</c:v>
                </c:pt>
                <c:pt idx="19">
                  <c:v>Appel, telephone portable, whatsapp, 1 h</c:v>
                </c:pt>
                <c:pt idx="20">
                  <c:v>Message vocal, en ligne, whatsapp, 1 h</c:v>
                </c:pt>
                <c:pt idx="21">
                  <c:v>Transmission, 5G, 1000 Mo</c:v>
                </c:pt>
                <c:pt idx="22">
                  <c:v>Transmission, ADSL, 1000 Mo</c:v>
                </c:pt>
                <c:pt idx="23">
                  <c:v>Transmission, 4G, 1000 Mo</c:v>
                </c:pt>
                <c:pt idx="24">
                  <c:v>Eau bouillie, bouilloire, 1 L</c:v>
                </c:pt>
                <c:pt idx="25">
                  <c:v>Café, unité</c:v>
                </c:pt>
                <c:pt idx="26">
                  <c:v>Carottes suisses, cuites, 250 g</c:v>
                </c:pt>
                <c:pt idx="27">
                  <c:v>Chaussures, commande en ligne, une paire</c:v>
                </c:pt>
                <c:pt idx="28">
                  <c:v>Chaussures, achat en magasin, une paire</c:v>
                </c:pt>
                <c:pt idx="29">
                  <c:v>Entrecôte de boeuf suisse, 250 g</c:v>
                </c:pt>
                <c:pt idx="30">
                  <c:v>Chaussures, commande en ligne, trois paires, deux renvoyées et détruites</c:v>
                </c:pt>
                <c:pt idx="31">
                  <c:v>Lecture, newsletter mail, 300 ko, 10 min</c:v>
                </c:pt>
                <c:pt idx="32">
                  <c:v>Lecture, journal local, ordinateur, PDF téléchargé</c:v>
                </c:pt>
                <c:pt idx="33">
                  <c:v>Lecture, journal local, ordinateur, lecture en ligne</c:v>
                </c:pt>
                <c:pt idx="34">
                  <c:v>Lecture, journal local, papier</c:v>
                </c:pt>
                <c:pt idx="35">
                  <c:v>Lecture, roman e-book, 300 pages</c:v>
                </c:pt>
                <c:pt idx="36">
                  <c:v>Lecture, roman papier, achat en librairie, 300 pages</c:v>
                </c:pt>
                <c:pt idx="37">
                  <c:v>Lecture, roman papier, achat en ligne, 300 pages</c:v>
                </c:pt>
                <c:pt idx="38">
                  <c:v>Lecture, journal international, ordinateur, lecture en ligne</c:v>
                </c:pt>
                <c:pt idx="39">
                  <c:v>Lecture, journal international, papier</c:v>
                </c:pt>
                <c:pt idx="40">
                  <c:v>Ecoute, radio, live, FM, 1 h</c:v>
                </c:pt>
                <c:pt idx="41">
                  <c:v>Ecoute, musique, streaming, smartphone, 1 h</c:v>
                </c:pt>
                <c:pt idx="42">
                  <c:v>Video, streaming, smartphone, LD, 1 h</c:v>
                </c:pt>
                <c:pt idx="43">
                  <c:v>Ecoute, radio, live, laptop, 1 h</c:v>
                </c:pt>
                <c:pt idx="44">
                  <c:v>Ecoute, radio, replay, laptop, 1 h</c:v>
                </c:pt>
                <c:pt idx="45">
                  <c:v>Video, streaming, laptop, youtube, LD, 1 h</c:v>
                </c:pt>
                <c:pt idx="46">
                  <c:v>Video, live, smartphone, téléjournal, SD, 1 h</c:v>
                </c:pt>
              </c:strCache>
            </c:strRef>
          </c:cat>
          <c:val>
            <c:numRef>
              <c:f>'Liste et comparaison écogestes'!$I$3:$I$49</c:f>
              <c:numCache>
                <c:formatCode>0.000</c:formatCode>
                <c:ptCount val="47"/>
                <c:pt idx="0">
                  <c:v>1.59651E-3</c:v>
                </c:pt>
                <c:pt idx="1">
                  <c:v>4.0841195500000002E-3</c:v>
                </c:pt>
                <c:pt idx="2">
                  <c:v>4.8227786600000006E-3</c:v>
                </c:pt>
                <c:pt idx="3">
                  <c:v>1.1138984500000001E-2</c:v>
                </c:pt>
                <c:pt idx="4">
                  <c:v>1.8933977000000001E-2</c:v>
                </c:pt>
                <c:pt idx="5">
                  <c:v>2.3728006499999999E-2</c:v>
                </c:pt>
                <c:pt idx="6">
                  <c:v>0.52725</c:v>
                </c:pt>
                <c:pt idx="7">
                  <c:v>0.6875</c:v>
                </c:pt>
                <c:pt idx="8">
                  <c:v>2.8102038500000002</c:v>
                </c:pt>
                <c:pt idx="9">
                  <c:v>2.8404750999999999</c:v>
                </c:pt>
                <c:pt idx="10">
                  <c:v>8.4522535999999998E-4</c:v>
                </c:pt>
                <c:pt idx="11">
                  <c:v>7.8243715799999995E-3</c:v>
                </c:pt>
                <c:pt idx="12">
                  <c:v>1.17111375E-2</c:v>
                </c:pt>
                <c:pt idx="13">
                  <c:v>4.3988814500000001E-2</c:v>
                </c:pt>
                <c:pt idx="14">
                  <c:v>4.1277371100000002E-2</c:v>
                </c:pt>
                <c:pt idx="15">
                  <c:v>4.9459106400000001E-2</c:v>
                </c:pt>
                <c:pt idx="24">
                  <c:v>5.1846250400000002E-2</c:v>
                </c:pt>
                <c:pt idx="25">
                  <c:v>8.8550546000000008E-2</c:v>
                </c:pt>
                <c:pt idx="26">
                  <c:v>0.12700871499999999</c:v>
                </c:pt>
                <c:pt idx="27">
                  <c:v>5.3679695000000001</c:v>
                </c:pt>
                <c:pt idx="28">
                  <c:v>5.7407764999999999</c:v>
                </c:pt>
                <c:pt idx="29">
                  <c:v>7.1326844999999999</c:v>
                </c:pt>
                <c:pt idx="30">
                  <c:v>16.103908499999999</c:v>
                </c:pt>
                <c:pt idx="31">
                  <c:v>2.6575000000000001E-3</c:v>
                </c:pt>
                <c:pt idx="32">
                  <c:v>1.75998575E-2</c:v>
                </c:pt>
                <c:pt idx="33">
                  <c:v>3.3115549800000005E-2</c:v>
                </c:pt>
                <c:pt idx="34">
                  <c:v>7.1966398000000001E-2</c:v>
                </c:pt>
                <c:pt idx="35">
                  <c:v>7.9450000000000007E-2</c:v>
                </c:pt>
                <c:pt idx="36">
                  <c:v>0.36153625199999995</c:v>
                </c:pt>
                <c:pt idx="37">
                  <c:v>0.56128933999999997</c:v>
                </c:pt>
                <c:pt idx="40">
                  <c:v>4.9758370000000003E-3</c:v>
                </c:pt>
                <c:pt idx="41">
                  <c:v>1.10240145E-2</c:v>
                </c:pt>
                <c:pt idx="42">
                  <c:v>1.5422896E-2</c:v>
                </c:pt>
                <c:pt idx="43">
                  <c:v>1.5560828000000001E-2</c:v>
                </c:pt>
                <c:pt idx="44">
                  <c:v>1.95627115E-2</c:v>
                </c:pt>
                <c:pt idx="45">
                  <c:v>2.2847550500000001E-2</c:v>
                </c:pt>
                <c:pt idx="46">
                  <c:v>3.5046602500000003E-2</c:v>
                </c:pt>
              </c:numCache>
            </c:numRef>
          </c:val>
          <c:smooth val="0"/>
          <c:extLst>
            <c:ext xmlns:c16="http://schemas.microsoft.com/office/drawing/2014/chart" uri="{C3380CC4-5D6E-409C-BE32-E72D297353CC}">
              <c16:uniqueId val="{00000001-8F2B-4A18-89EB-7AA66E596964}"/>
            </c:ext>
          </c:extLst>
        </c:ser>
        <c:ser>
          <c:idx val="2"/>
          <c:order val="2"/>
          <c:spPr>
            <a:ln w="25400" cap="rnd">
              <a:noFill/>
              <a:round/>
            </a:ln>
            <a:effectLst/>
          </c:spPr>
          <c:marker>
            <c:symbol val="dash"/>
            <c:size val="5"/>
            <c:spPr>
              <a:solidFill>
                <a:schemeClr val="tx1"/>
              </a:solidFill>
              <a:ln>
                <a:noFill/>
              </a:ln>
              <a:effectLst/>
            </c:spPr>
          </c:marker>
          <c:cat>
            <c:strRef>
              <c:f>'Liste et comparaison écogestes'!$C$3:$C$49</c:f>
              <c:strCache>
                <c:ptCount val="47"/>
                <c:pt idx="0">
                  <c:v>Paiement, e-banking, 1 paiement</c:v>
                </c:pt>
                <c:pt idx="1">
                  <c:v>Envoi email, 1 email, pièce jointe 1 Mo</c:v>
                </c:pt>
                <c:pt idx="2">
                  <c:v>Impression, noir et blanc, recto, 1 feuille A4</c:v>
                </c:pt>
                <c:pt idx="3">
                  <c:v>Ordinateur, usage bureautique, 1 h</c:v>
                </c:pt>
                <c:pt idx="4">
                  <c:v>Stockage, disque externe, 1000 photos, 1 an</c:v>
                </c:pt>
                <c:pt idx="5">
                  <c:v>Recherche, moteur de recherche, laptop, 100 recherches, 1 h</c:v>
                </c:pt>
                <c:pt idx="6">
                  <c:v>Stockage, cloud, 1000 photos, 1 an</c:v>
                </c:pt>
                <c:pt idx="7">
                  <c:v>Stockage, cloud, 1000 emails, 5 ans</c:v>
                </c:pt>
                <c:pt idx="8">
                  <c:v>Envoi email, 1000 emails, sans logo</c:v>
                </c:pt>
                <c:pt idx="9">
                  <c:v>Envoi email, 1000 emails, avec logo</c:v>
                </c:pt>
                <c:pt idx="10">
                  <c:v>Transmission, wifi, 1000 Mo</c:v>
                </c:pt>
                <c:pt idx="11">
                  <c:v>Transmission, wifi, 1 h</c:v>
                </c:pt>
                <c:pt idx="12">
                  <c:v>Transmission, fibre, 1000 Mo</c:v>
                </c:pt>
                <c:pt idx="13">
                  <c:v>Transmission, données mobiles, 1000 Mo</c:v>
                </c:pt>
                <c:pt idx="14">
                  <c:v>Discussion, par tele-conference, partage d'écran, SANS vidéo, 2 personnes, 1 h</c:v>
                </c:pt>
                <c:pt idx="15">
                  <c:v>Discussion, par tele-conference, partage d'écran, AVEC vidéo, 2 personnes, 1 h</c:v>
                </c:pt>
                <c:pt idx="16">
                  <c:v>Message texte, en ligne, 1 message</c:v>
                </c:pt>
                <c:pt idx="17">
                  <c:v>Appel, telephone portable, 1 h</c:v>
                </c:pt>
                <c:pt idx="18">
                  <c:v>Appel, telephone fixe, 1 h</c:v>
                </c:pt>
                <c:pt idx="19">
                  <c:v>Appel, telephone portable, whatsapp, 1 h</c:v>
                </c:pt>
                <c:pt idx="20">
                  <c:v>Message vocal, en ligne, whatsapp, 1 h</c:v>
                </c:pt>
                <c:pt idx="21">
                  <c:v>Transmission, 5G, 1000 Mo</c:v>
                </c:pt>
                <c:pt idx="22">
                  <c:v>Transmission, ADSL, 1000 Mo</c:v>
                </c:pt>
                <c:pt idx="23">
                  <c:v>Transmission, 4G, 1000 Mo</c:v>
                </c:pt>
                <c:pt idx="24">
                  <c:v>Eau bouillie, bouilloire, 1 L</c:v>
                </c:pt>
                <c:pt idx="25">
                  <c:v>Café, unité</c:v>
                </c:pt>
                <c:pt idx="26">
                  <c:v>Carottes suisses, cuites, 250 g</c:v>
                </c:pt>
                <c:pt idx="27">
                  <c:v>Chaussures, commande en ligne, une paire</c:v>
                </c:pt>
                <c:pt idx="28">
                  <c:v>Chaussures, achat en magasin, une paire</c:v>
                </c:pt>
                <c:pt idx="29">
                  <c:v>Entrecôte de boeuf suisse, 250 g</c:v>
                </c:pt>
                <c:pt idx="30">
                  <c:v>Chaussures, commande en ligne, trois paires, deux renvoyées et détruites</c:v>
                </c:pt>
                <c:pt idx="31">
                  <c:v>Lecture, newsletter mail, 300 ko, 10 min</c:v>
                </c:pt>
                <c:pt idx="32">
                  <c:v>Lecture, journal local, ordinateur, PDF téléchargé</c:v>
                </c:pt>
                <c:pt idx="33">
                  <c:v>Lecture, journal local, ordinateur, lecture en ligne</c:v>
                </c:pt>
                <c:pt idx="34">
                  <c:v>Lecture, journal local, papier</c:v>
                </c:pt>
                <c:pt idx="35">
                  <c:v>Lecture, roman e-book, 300 pages</c:v>
                </c:pt>
                <c:pt idx="36">
                  <c:v>Lecture, roman papier, achat en librairie, 300 pages</c:v>
                </c:pt>
                <c:pt idx="37">
                  <c:v>Lecture, roman papier, achat en ligne, 300 pages</c:v>
                </c:pt>
                <c:pt idx="38">
                  <c:v>Lecture, journal international, ordinateur, lecture en ligne</c:v>
                </c:pt>
                <c:pt idx="39">
                  <c:v>Lecture, journal international, papier</c:v>
                </c:pt>
                <c:pt idx="40">
                  <c:v>Ecoute, radio, live, FM, 1 h</c:v>
                </c:pt>
                <c:pt idx="41">
                  <c:v>Ecoute, musique, streaming, smartphone, 1 h</c:v>
                </c:pt>
                <c:pt idx="42">
                  <c:v>Video, streaming, smartphone, LD, 1 h</c:v>
                </c:pt>
                <c:pt idx="43">
                  <c:v>Ecoute, radio, live, laptop, 1 h</c:v>
                </c:pt>
                <c:pt idx="44">
                  <c:v>Ecoute, radio, replay, laptop, 1 h</c:v>
                </c:pt>
                <c:pt idx="45">
                  <c:v>Video, streaming, laptop, youtube, LD, 1 h</c:v>
                </c:pt>
                <c:pt idx="46">
                  <c:v>Video, live, smartphone, téléjournal, SD, 1 h</c:v>
                </c:pt>
              </c:strCache>
            </c:strRef>
          </c:cat>
          <c:val>
            <c:numRef>
              <c:f>'Liste et comparaison écogestes'!$J$3:$J$49</c:f>
              <c:numCache>
                <c:formatCode>0.000</c:formatCode>
                <c:ptCount val="47"/>
                <c:pt idx="0">
                  <c:v>4.7895300000000002E-3</c:v>
                </c:pt>
                <c:pt idx="1">
                  <c:v>1.6336478200000001E-2</c:v>
                </c:pt>
                <c:pt idx="2">
                  <c:v>8.9565889399999994E-3</c:v>
                </c:pt>
                <c:pt idx="3">
                  <c:v>2.06866855E-2</c:v>
                </c:pt>
                <c:pt idx="4">
                  <c:v>5.6801931E-2</c:v>
                </c:pt>
                <c:pt idx="5">
                  <c:v>7.1184019500000001E-2</c:v>
                </c:pt>
                <c:pt idx="6">
                  <c:v>8.4359999999999999</c:v>
                </c:pt>
                <c:pt idx="7">
                  <c:v>11</c:v>
                </c:pt>
                <c:pt idx="8">
                  <c:v>11.240815400000001</c:v>
                </c:pt>
                <c:pt idx="9">
                  <c:v>11.3619004</c:v>
                </c:pt>
                <c:pt idx="10">
                  <c:v>1.5697042399999998E-3</c:v>
                </c:pt>
                <c:pt idx="11">
                  <c:v>9.5631208199999998E-3</c:v>
                </c:pt>
                <c:pt idx="12">
                  <c:v>4.6844549999999999E-2</c:v>
                </c:pt>
                <c:pt idx="13">
                  <c:v>0.175955258</c:v>
                </c:pt>
                <c:pt idx="14">
                  <c:v>7.6657974899999995E-2</c:v>
                </c:pt>
                <c:pt idx="15">
                  <c:v>0.1154045816</c:v>
                </c:pt>
                <c:pt idx="24">
                  <c:v>7.776937560000001E-2</c:v>
                </c:pt>
                <c:pt idx="25">
                  <c:v>0.16445101400000001</c:v>
                </c:pt>
                <c:pt idx="26">
                  <c:v>0.50803485999999998</c:v>
                </c:pt>
                <c:pt idx="27">
                  <c:v>16.103908499999999</c:v>
                </c:pt>
                <c:pt idx="28">
                  <c:v>17.222329500000001</c:v>
                </c:pt>
                <c:pt idx="29">
                  <c:v>28.530737999999999</c:v>
                </c:pt>
                <c:pt idx="30">
                  <c:v>48.311725499999994</c:v>
                </c:pt>
                <c:pt idx="31">
                  <c:v>7.9725000000000004E-3</c:v>
                </c:pt>
                <c:pt idx="32">
                  <c:v>5.2799572500000003E-2</c:v>
                </c:pt>
                <c:pt idx="33">
                  <c:v>7.7269616200000002E-2</c:v>
                </c:pt>
                <c:pt idx="34">
                  <c:v>0.133651882</c:v>
                </c:pt>
                <c:pt idx="35">
                  <c:v>0.31780000000000003</c:v>
                </c:pt>
                <c:pt idx="36">
                  <c:v>0.671424468</c:v>
                </c:pt>
                <c:pt idx="37">
                  <c:v>14.0322335</c:v>
                </c:pt>
                <c:pt idx="40">
                  <c:v>1.9903348000000001E-2</c:v>
                </c:pt>
                <c:pt idx="41">
                  <c:v>3.3072043500000002E-2</c:v>
                </c:pt>
                <c:pt idx="42">
                  <c:v>6.1691584000000001E-2</c:v>
                </c:pt>
                <c:pt idx="43">
                  <c:v>4.6682484000000003E-2</c:v>
                </c:pt>
                <c:pt idx="44">
                  <c:v>5.8688134500000003E-2</c:v>
                </c:pt>
                <c:pt idx="45">
                  <c:v>9.1390202000000004E-2</c:v>
                </c:pt>
                <c:pt idx="46">
                  <c:v>0.14018641000000001</c:v>
                </c:pt>
              </c:numCache>
            </c:numRef>
          </c:val>
          <c:smooth val="0"/>
          <c:extLst>
            <c:ext xmlns:c16="http://schemas.microsoft.com/office/drawing/2014/chart" uri="{C3380CC4-5D6E-409C-BE32-E72D297353CC}">
              <c16:uniqueId val="{00000002-8F2B-4A18-89EB-7AA66E596964}"/>
            </c:ext>
          </c:extLst>
        </c:ser>
        <c:dLbls>
          <c:showLegendKey val="0"/>
          <c:showVal val="0"/>
          <c:showCatName val="0"/>
          <c:showSerName val="0"/>
          <c:showPercent val="0"/>
          <c:showBubbleSize val="0"/>
        </c:dLbls>
        <c:hiLowLines>
          <c:spPr>
            <a:ln w="25400" cap="flat" cmpd="sng" algn="ctr">
              <a:solidFill>
                <a:schemeClr val="tx1">
                  <a:lumMod val="65000"/>
                  <a:lumOff val="35000"/>
                </a:schemeClr>
              </a:solidFill>
              <a:round/>
            </a:ln>
            <a:effectLst/>
          </c:spPr>
        </c:hiLowLines>
        <c:axId val="638097768"/>
        <c:axId val="638095800"/>
      </c:stockChart>
      <c:catAx>
        <c:axId val="638097768"/>
        <c:scaling>
          <c:orientation val="minMax"/>
        </c:scaling>
        <c:delete val="0"/>
        <c:axPos val="b"/>
        <c:numFmt formatCode="General" sourceLinked="1"/>
        <c:majorTickMark val="none"/>
        <c:minorTickMark val="none"/>
        <c:tickLblPos val="low"/>
        <c:spPr>
          <a:noFill/>
          <a:ln w="9525" cap="flat" cmpd="sng" algn="ctr">
            <a:solidFill>
              <a:schemeClr val="tx1">
                <a:lumMod val="35000"/>
                <a:lumOff val="6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de-DE"/>
          </a:p>
        </c:txPr>
        <c:crossAx val="638095800"/>
        <c:crossesAt val="0.1"/>
        <c:auto val="1"/>
        <c:lblAlgn val="ctr"/>
        <c:lblOffset val="100"/>
        <c:noMultiLvlLbl val="0"/>
      </c:catAx>
      <c:valAx>
        <c:axId val="638095800"/>
        <c:scaling>
          <c:logBase val="10"/>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de-DE"/>
          </a:p>
        </c:txPr>
        <c:crossAx val="638097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Comparaison</a:t>
            </a:r>
            <a:r>
              <a:rPr lang="en-US" b="1" baseline="0"/>
              <a:t> du gain égologique de différentes e</a:t>
            </a:r>
            <a:r>
              <a:rPr lang="en-US" b="1"/>
              <a:t>cogestes pendant une année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55040631981839161"/>
          <c:y val="9.0241986353644527E-2"/>
          <c:w val="0.42900431605912903"/>
          <c:h val="0.81205999478703594"/>
        </c:manualLayout>
      </c:layout>
      <c:barChart>
        <c:barDir val="bar"/>
        <c:grouping val="clustered"/>
        <c:varyColors val="0"/>
        <c:ser>
          <c:idx val="0"/>
          <c:order val="0"/>
          <c:tx>
            <c:strRef>
              <c:f>'Liste et comparaison écogestes'!$C$119:$C$136</c:f>
              <c:strCache>
                <c:ptCount val="18"/>
                <c:pt idx="0">
                  <c:v>Remplacer un voyage d'une personne en avion à Berlin par une vidéoconférence de 4 heures</c:v>
                </c:pt>
                <c:pt idx="1">
                  <c:v>Consommer uniquement du courant vert à la maison (100% photovoltaique, 1800 kWh/an/personne)</c:v>
                </c:pt>
                <c:pt idx="2">
                  <c:v>Utiliser un laptop 5 ans au lieu de 4 ans </c:v>
                </c:pt>
                <c:pt idx="3">
                  <c:v>Remplacer 2 réunions par an par une vidéoconférance au lieu de se deplacer entre Lausanne et Berne (2x100 km) en voiture</c:v>
                </c:pt>
                <c:pt idx="4">
                  <c:v>Stocker les 5'000 photos sur un disque dur au lieu de les stocker dans un cloud service (stockage moyen de 5 ans)</c:v>
                </c:pt>
                <c:pt idx="5">
                  <c:v>Supprimer 10'000 E-mails stockés dans le  cloud </c:v>
                </c:pt>
                <c:pt idx="6">
                  <c:v>Utiliser un smartphone 4 ans au lieu de 3 ans </c:v>
                </c:pt>
                <c:pt idx="7">
                  <c:v>Eteindre le WiFi (et mettre le laptop en standby) entre 24h et 6h </c:v>
                </c:pt>
                <c:pt idx="8">
                  <c:v>Visualiser 100 films sur un petit écran (env. 30 cm), en SD, au lieu d'un grand écran (env. 100 cm), en HD</c:v>
                </c:pt>
                <c:pt idx="9">
                  <c:v>Visualiser 100 films en low definition au lieu de high definition (sur laptop)</c:v>
                </c:pt>
                <c:pt idx="10">
                  <c:v>Eliminer 20% de ses photos (1000 photos de mauvaise qualité ou redondantes par an) avant de les stocker sur un serveur cloud (stockage moyen de 5 ans)</c:v>
                </c:pt>
                <c:pt idx="12">
                  <c:v>Aller au travail en vélo 200 jours au lieu d'aller en voiture (2x5km)</c:v>
                </c:pt>
                <c:pt idx="13">
                  <c:v>Travailler à la maison 200 jours au lieu d'aller au travail en voiture à 5 km (2x5km) </c:v>
                </c:pt>
                <c:pt idx="14">
                  <c:v>Manger 1 fois (125 g) de la bonne viande de bœuf par semaine au lieu de 2 fois </c:v>
                </c:pt>
                <c:pt idx="15">
                  <c:v>Travail à la maison au lieu d'aller au bureau, 1 jour par semaine (économie 2 x 10 km/jour en voiture pour 46 semaines/an)</c:v>
                </c:pt>
                <c:pt idx="16">
                  <c:v>Boire 1 café au lieu de 2 par jour pendant 1 an</c:v>
                </c:pt>
                <c:pt idx="17">
                  <c:v>Acheter un paire de chaussures de moins par an (en achetant de la qualité et en utilisant mieux les autres chaussures)</c:v>
                </c:pt>
              </c:strCache>
            </c:strRef>
          </c:tx>
          <c:spPr>
            <a:solidFill>
              <a:schemeClr val="accent1"/>
            </a:solidFill>
            <a:ln>
              <a:noFill/>
            </a:ln>
            <a:effectLst/>
          </c:spPr>
          <c:invertIfNegative val="0"/>
          <c:cat>
            <c:strRef>
              <c:f>'Liste et comparaison écogestes'!$C$119:$C$143</c:f>
              <c:strCache>
                <c:ptCount val="25"/>
                <c:pt idx="0">
                  <c:v>Remplacer un voyage d'une personne en avion à Berlin par une vidéoconférence de 4 heures</c:v>
                </c:pt>
                <c:pt idx="1">
                  <c:v>Consommer uniquement du courant vert à la maison (100% photovoltaique, 1800 kWh/an/personne)</c:v>
                </c:pt>
                <c:pt idx="2">
                  <c:v>Utiliser un laptop 5 ans au lieu de 4 ans </c:v>
                </c:pt>
                <c:pt idx="3">
                  <c:v>Remplacer 2 réunions par an par une vidéoconférance au lieu de se deplacer entre Lausanne et Berne (2x100 km) en voiture</c:v>
                </c:pt>
                <c:pt idx="4">
                  <c:v>Stocker les 5'000 photos sur un disque dur au lieu de les stocker dans un cloud service (stockage moyen de 5 ans)</c:v>
                </c:pt>
                <c:pt idx="5">
                  <c:v>Supprimer 10'000 E-mails stockés dans le  cloud </c:v>
                </c:pt>
                <c:pt idx="6">
                  <c:v>Utiliser un smartphone 4 ans au lieu de 3 ans </c:v>
                </c:pt>
                <c:pt idx="7">
                  <c:v>Eteindre le WiFi (et mettre le laptop en standby) entre 24h et 6h </c:v>
                </c:pt>
                <c:pt idx="8">
                  <c:v>Visualiser 100 films sur un petit écran (env. 30 cm), en SD, au lieu d'un grand écran (env. 100 cm), en HD</c:v>
                </c:pt>
                <c:pt idx="9">
                  <c:v>Visualiser 100 films en low definition au lieu de high definition (sur laptop)</c:v>
                </c:pt>
                <c:pt idx="10">
                  <c:v>Eliminer 20% de ses photos (1000 photos de mauvaise qualité ou redondantes par an) avant de les stocker sur un serveur cloud (stockage moyen de 5 ans)</c:v>
                </c:pt>
                <c:pt idx="12">
                  <c:v>Aller au travail en vélo 200 jours au lieu d'aller en voiture (2x5km)</c:v>
                </c:pt>
                <c:pt idx="13">
                  <c:v>Travailler à la maison 200 jours au lieu d'aller au travail en voiture à 5 km (2x5km) </c:v>
                </c:pt>
                <c:pt idx="14">
                  <c:v>Manger 1 fois (125 g) de la bonne viande de bœuf par semaine au lieu de 2 fois </c:v>
                </c:pt>
                <c:pt idx="15">
                  <c:v>Travail à la maison au lieu d'aller au bureau, 1 jour par semaine (économie 2 x 10 km/jour en voiture pour 46 semaines/an)</c:v>
                </c:pt>
                <c:pt idx="16">
                  <c:v>Boire 1 café au lieu de 2 par jour pendant 1 an</c:v>
                </c:pt>
                <c:pt idx="17">
                  <c:v>Acheter un paire de chaussures de moins par an (en achetant de la qualité et en utilisant mieux les autres chaussures)</c:v>
                </c:pt>
                <c:pt idx="18">
                  <c:v>Unité pour la comparaison: 100km en voiture</c:v>
                </c:pt>
                <c:pt idx="19">
                  <c:v>Unité pour la comparaison: 1km en voiture</c:v>
                </c:pt>
                <c:pt idx="20">
                  <c:v>Unité pour la comparaison: 365 cafés</c:v>
                </c:pt>
                <c:pt idx="21">
                  <c:v>Unité pour la comparaison: 1 café</c:v>
                </c:pt>
                <c:pt idx="23">
                  <c:v>UCE par personne et par semaine en 2015</c:v>
                </c:pt>
                <c:pt idx="24">
                  <c:v>UCE limite par personne et par semaine (pour respecter les limites planetaires) </c:v>
                </c:pt>
              </c:strCache>
            </c:strRef>
          </c:cat>
          <c:val>
            <c:numRef>
              <c:f>'Liste et comparaison écogestes'!$H$119:$H$136</c:f>
              <c:numCache>
                <c:formatCode>0</c:formatCode>
                <c:ptCount val="18"/>
                <c:pt idx="0">
                  <c:v>507066.03830101131</c:v>
                </c:pt>
                <c:pt idx="1">
                  <c:v>483811.84935007652</c:v>
                </c:pt>
                <c:pt idx="2">
                  <c:v>163291.56666666619</c:v>
                </c:pt>
                <c:pt idx="3">
                  <c:v>150728.35444153249</c:v>
                </c:pt>
                <c:pt idx="4">
                  <c:v>58154.846494547499</c:v>
                </c:pt>
                <c:pt idx="5">
                  <c:v>31015.891657669701</c:v>
                </c:pt>
                <c:pt idx="6">
                  <c:v>30257.701145759478</c:v>
                </c:pt>
                <c:pt idx="7">
                  <c:v>19481.119109042858</c:v>
                </c:pt>
                <c:pt idx="8">
                  <c:v>17658.465883232315</c:v>
                </c:pt>
                <c:pt idx="9">
                  <c:v>15361.171965251157</c:v>
                </c:pt>
                <c:pt idx="10">
                  <c:v>11925.649612821006</c:v>
                </c:pt>
                <c:pt idx="12">
                  <c:v>754792.65418828221</c:v>
                </c:pt>
                <c:pt idx="13">
                  <c:v>754792.65418828221</c:v>
                </c:pt>
                <c:pt idx="14">
                  <c:v>707041.85551195324</c:v>
                </c:pt>
                <c:pt idx="15">
                  <c:v>347204.62092661002</c:v>
                </c:pt>
                <c:pt idx="16">
                  <c:v>144424.65413855371</c:v>
                </c:pt>
                <c:pt idx="17">
                  <c:v>22280.253898076549</c:v>
                </c:pt>
              </c:numCache>
            </c:numRef>
          </c:val>
          <c:extLst>
            <c:ext xmlns:c16="http://schemas.microsoft.com/office/drawing/2014/chart" uri="{C3380CC4-5D6E-409C-BE32-E72D297353CC}">
              <c16:uniqueId val="{00000000-9365-4202-8E87-B230EB8ADDB9}"/>
            </c:ext>
          </c:extLst>
        </c:ser>
        <c:dLbls>
          <c:showLegendKey val="0"/>
          <c:showVal val="0"/>
          <c:showCatName val="0"/>
          <c:showSerName val="0"/>
          <c:showPercent val="0"/>
          <c:showBubbleSize val="0"/>
        </c:dLbls>
        <c:gapWidth val="182"/>
        <c:axId val="655880880"/>
        <c:axId val="655882192"/>
      </c:barChart>
      <c:catAx>
        <c:axId val="6558808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de-DE"/>
          </a:p>
        </c:txPr>
        <c:crossAx val="655882192"/>
        <c:crosses val="autoZero"/>
        <c:auto val="1"/>
        <c:lblAlgn val="ctr"/>
        <c:lblOffset val="100"/>
        <c:noMultiLvlLbl val="0"/>
      </c:catAx>
      <c:valAx>
        <c:axId val="655882192"/>
        <c:scaling>
          <c:orientation val="minMax"/>
          <c:max val="80000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55880880"/>
        <c:crosses val="autoZero"/>
        <c:crossBetween val="between"/>
        <c:majorUnit val="200000"/>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45672882352810373"/>
          <c:y val="5.1612177631795493E-2"/>
          <c:w val="0.49814150623516551"/>
          <c:h val="0.87799264759011297"/>
        </c:manualLayout>
      </c:layout>
      <c:barChart>
        <c:barDir val="bar"/>
        <c:grouping val="clustered"/>
        <c:varyColors val="0"/>
        <c:ser>
          <c:idx val="0"/>
          <c:order val="0"/>
          <c:spPr>
            <a:solidFill>
              <a:schemeClr val="accent1"/>
            </a:solidFill>
            <a:ln>
              <a:noFill/>
            </a:ln>
            <a:effectLst/>
          </c:spPr>
          <c:invertIfNegative val="0"/>
          <c:cat>
            <c:strRef>
              <c:f>'Actions robustes - V. PUBLIABLE'!$B$3:$B$49</c:f>
              <c:strCache>
                <c:ptCount val="47"/>
                <c:pt idx="0">
                  <c:v>Transmission, wifi, 1000 Mo</c:v>
                </c:pt>
                <c:pt idx="1">
                  <c:v>Paiement, e-banking, 1 paiement</c:v>
                </c:pt>
                <c:pt idx="2">
                  <c:v>Lecture, newsletter mail, 300 ko, 10 min</c:v>
                </c:pt>
                <c:pt idx="3">
                  <c:v>Ecoute, radio, live, FM, 1 h</c:v>
                </c:pt>
                <c:pt idx="4">
                  <c:v>Transmission, wifi, 1 h</c:v>
                </c:pt>
                <c:pt idx="5">
                  <c:v>Envoi email, 1 email, pièce jointe 1 Mo</c:v>
                </c:pt>
                <c:pt idx="6">
                  <c:v>Impression, noir et blanc, recto, 1 feuille A4</c:v>
                </c:pt>
                <c:pt idx="7">
                  <c:v>Transmission, fibre, 1000 Mo</c:v>
                </c:pt>
                <c:pt idx="8">
                  <c:v>Ecoute, musique, streaming, smartphone, 1 h</c:v>
                </c:pt>
                <c:pt idx="9">
                  <c:v>Ordinateur, usage bureautique, 1 h</c:v>
                </c:pt>
                <c:pt idx="10">
                  <c:v>Video, streaming, smartphone, LD, 1 h</c:v>
                </c:pt>
                <c:pt idx="11">
                  <c:v>Ecoute, radio, live, laptop, 1 h</c:v>
                </c:pt>
                <c:pt idx="12">
                  <c:v>Lecture, journal local, ordinateur, PDF téléchargé</c:v>
                </c:pt>
                <c:pt idx="13">
                  <c:v>Ecoute, radio, replay, laptop, 1 h</c:v>
                </c:pt>
                <c:pt idx="14">
                  <c:v>Stockage, disque externe, 1000 photos, 1 an</c:v>
                </c:pt>
                <c:pt idx="15">
                  <c:v>Video, streaming, laptop, youtube, LD, 1 h</c:v>
                </c:pt>
                <c:pt idx="16">
                  <c:v>Recherche, moteur de recherche, laptop, 100 recherches, 1 h</c:v>
                </c:pt>
                <c:pt idx="17">
                  <c:v>Eau bouillie, bouilloire, 1 L</c:v>
                </c:pt>
                <c:pt idx="18">
                  <c:v>Video, live, smartphone, téléjournal, SD, 1 h</c:v>
                </c:pt>
                <c:pt idx="19">
                  <c:v>Lecture, journal local, ordinateur, lecture en ligne</c:v>
                </c:pt>
                <c:pt idx="20">
                  <c:v>Transmission, données mobiles, 1000 Mo</c:v>
                </c:pt>
                <c:pt idx="21">
                  <c:v>Discussion, par tele-conference, partage d'écran, SANS vidéo, 2 personnes, 1 h</c:v>
                </c:pt>
                <c:pt idx="22">
                  <c:v>Video, streaming, laptop, fournisseur de films, SD, 1 h</c:v>
                </c:pt>
                <c:pt idx="23">
                  <c:v>Discussion, par tele-conference, partage d'écran, AVEC vidéo, 2 personnes, 1 h</c:v>
                </c:pt>
                <c:pt idx="24">
                  <c:v>Video, streaming, ecran TV, fournisseur de films, SD, 1 h</c:v>
                </c:pt>
                <c:pt idx="25">
                  <c:v>Video, live, laptop, téléjournal, HD, 1 h</c:v>
                </c:pt>
                <c:pt idx="26">
                  <c:v>Video, streaming (replay), laptop, téléjournal, HD, 1 h</c:v>
                </c:pt>
                <c:pt idx="27">
                  <c:v>Lecture, journal local, papier</c:v>
                </c:pt>
                <c:pt idx="28">
                  <c:v>Video, streaming, laptop, fournisseur de films, HD, 1 h</c:v>
                </c:pt>
                <c:pt idx="29">
                  <c:v>Video, streaming, ecran TV, fournisseur de films, HD, 1 h</c:v>
                </c:pt>
                <c:pt idx="30">
                  <c:v>Lecture, roman e-book, 300 pages</c:v>
                </c:pt>
                <c:pt idx="31">
                  <c:v>Trajet voiture, 1 km</c:v>
                </c:pt>
                <c:pt idx="32">
                  <c:v>Café, unité</c:v>
                </c:pt>
                <c:pt idx="33">
                  <c:v>Lecture, roman papier, achat en librairie, 300 pages</c:v>
                </c:pt>
                <c:pt idx="34">
                  <c:v>Carottes suisses, cuites, 250 g</c:v>
                </c:pt>
                <c:pt idx="35">
                  <c:v>Lecture, roman papier, achat en ligne, 300 pages</c:v>
                </c:pt>
                <c:pt idx="36">
                  <c:v>Stockage, cloud, 1000 photos, 1 an</c:v>
                </c:pt>
                <c:pt idx="37">
                  <c:v>Stockage, cloud, 1000 emails, 5 ans</c:v>
                </c:pt>
                <c:pt idx="38">
                  <c:v>Envoi email, 1000 emails, sans logo</c:v>
                </c:pt>
                <c:pt idx="39">
                  <c:v>Envoi email, 1000 emails, avec logo</c:v>
                </c:pt>
                <c:pt idx="40">
                  <c:v>Chaussures, commande en ligne, une paire</c:v>
                </c:pt>
                <c:pt idx="41">
                  <c:v>Chaussures, achat en magasin, une paire</c:v>
                </c:pt>
                <c:pt idx="42">
                  <c:v>Entrecôte de boeuf suisse, 250 g</c:v>
                </c:pt>
                <c:pt idx="43">
                  <c:v>Chaussures, commande en ligne, trois paires, deux renvoyées et détruites</c:v>
                </c:pt>
                <c:pt idx="44">
                  <c:v>Trajet avion, Lausanne-Berlin, classe eco, aller-retour, un passager</c:v>
                </c:pt>
                <c:pt idx="45">
                  <c:v>Trajet voiture, Lausanne-Berlin, aller-retour</c:v>
                </c:pt>
                <c:pt idx="46">
                  <c:v>Trajet avion, Genève-New York, classe eco, aller-retour, un passager</c:v>
                </c:pt>
              </c:strCache>
            </c:strRef>
          </c:cat>
          <c:val>
            <c:numRef>
              <c:f>'Actions robustes - V. PUBLIABLE'!$J$3:$J$49</c:f>
              <c:numCache>
                <c:formatCode>0</c:formatCode>
                <c:ptCount val="47"/>
                <c:pt idx="0" formatCode="0.0000">
                  <c:v>0.86483913106306098</c:v>
                </c:pt>
                <c:pt idx="1">
                  <c:v>2.28409044391223</c:v>
                </c:pt>
                <c:pt idx="2">
                  <c:v>3.9171055369176013</c:v>
                </c:pt>
                <c:pt idx="3">
                  <c:v>4.2283444280436591</c:v>
                </c:pt>
                <c:pt idx="4">
                  <c:v>8.0059393598806281</c:v>
                </c:pt>
                <c:pt idx="5">
                  <c:v>5.2498195316622009</c:v>
                </c:pt>
                <c:pt idx="6">
                  <c:v>8.8145651424234597</c:v>
                </c:pt>
                <c:pt idx="7">
                  <c:v>11.723714947632711</c:v>
                </c:pt>
                <c:pt idx="8">
                  <c:v>12.344053249454685</c:v>
                </c:pt>
                <c:pt idx="9">
                  <c:v>20.925543483079259</c:v>
                </c:pt>
                <c:pt idx="10">
                  <c:v>16.756023816326987</c:v>
                </c:pt>
                <c:pt idx="11">
                  <c:v>23.176326903797978</c:v>
                </c:pt>
                <c:pt idx="12">
                  <c:v>25.381626018661336</c:v>
                </c:pt>
                <c:pt idx="13">
                  <c:v>27.706618136120962</c:v>
                </c:pt>
                <c:pt idx="14">
                  <c:v>29.468031391154344</c:v>
                </c:pt>
                <c:pt idx="15">
                  <c:v>31.522962220953758</c:v>
                </c:pt>
                <c:pt idx="16">
                  <c:v>32.752101865794856</c:v>
                </c:pt>
                <c:pt idx="17">
                  <c:v>53.974365667013842</c:v>
                </c:pt>
                <c:pt idx="18">
                  <c:v>36.062330917558398</c:v>
                </c:pt>
                <c:pt idx="19">
                  <c:v>44.483100516642438</c:v>
                </c:pt>
                <c:pt idx="20">
                  <c:v>44.119705678588055</c:v>
                </c:pt>
                <c:pt idx="21">
                  <c:v>61.82308754759908</c:v>
                </c:pt>
                <c:pt idx="22">
                  <c:v>48.219888472297185</c:v>
                </c:pt>
                <c:pt idx="23">
                  <c:v>69.052918837295437</c:v>
                </c:pt>
                <c:pt idx="24">
                  <c:v>59.706355787203009</c:v>
                </c:pt>
                <c:pt idx="25">
                  <c:v>60.454969344476204</c:v>
                </c:pt>
                <c:pt idx="26">
                  <c:v>64.916814295150601</c:v>
                </c:pt>
                <c:pt idx="27">
                  <c:v>97.768669482600757</c:v>
                </c:pt>
                <c:pt idx="28">
                  <c:v>125.02574829855297</c:v>
                </c:pt>
                <c:pt idx="29">
                  <c:v>136.51221788845876</c:v>
                </c:pt>
                <c:pt idx="30">
                  <c:v>149.19334687297965</c:v>
                </c:pt>
                <c:pt idx="31">
                  <c:v>264.1774289658988</c:v>
                </c:pt>
                <c:pt idx="32">
                  <c:v>276.97878875887011</c:v>
                </c:pt>
                <c:pt idx="33">
                  <c:v>603.49032637508503</c:v>
                </c:pt>
                <c:pt idx="34">
                  <c:v>490.25305733799473</c:v>
                </c:pt>
                <c:pt idx="35">
                  <c:v>450.89910219025433</c:v>
                </c:pt>
                <c:pt idx="36">
                  <c:v>596.28248064105026</c:v>
                </c:pt>
                <c:pt idx="37">
                  <c:v>775.39729144174169</c:v>
                </c:pt>
                <c:pt idx="38">
                  <c:v>3813.1566903490516</c:v>
                </c:pt>
                <c:pt idx="39">
                  <c:v>3847.2952305293243</c:v>
                </c:pt>
                <c:pt idx="40">
                  <c:v>10886.135147198043</c:v>
                </c:pt>
                <c:pt idx="41">
                  <c:v>11394.118750878506</c:v>
                </c:pt>
                <c:pt idx="42">
                  <c:v>13596.958759845254</c:v>
                </c:pt>
                <c:pt idx="43">
                  <c:v>32658.405481294125</c:v>
                </c:pt>
                <c:pt idx="44">
                  <c:v>355268.47376528196</c:v>
                </c:pt>
                <c:pt idx="45">
                  <c:v>640064.17198900739</c:v>
                </c:pt>
                <c:pt idx="46">
                  <c:v>1754483.7236997806</c:v>
                </c:pt>
              </c:numCache>
            </c:numRef>
          </c:val>
          <c:extLst>
            <c:ext xmlns:c16="http://schemas.microsoft.com/office/drawing/2014/chart" uri="{C3380CC4-5D6E-409C-BE32-E72D297353CC}">
              <c16:uniqueId val="{00000000-DFCB-4465-9B6F-9D9266F5A471}"/>
            </c:ext>
          </c:extLst>
        </c:ser>
        <c:ser>
          <c:idx val="1"/>
          <c:order val="1"/>
          <c:spPr>
            <a:solidFill>
              <a:schemeClr val="accent2"/>
            </a:solidFill>
            <a:ln>
              <a:noFill/>
            </a:ln>
            <a:effectLst/>
          </c:spPr>
          <c:invertIfNegative val="0"/>
          <c:cat>
            <c:strRef>
              <c:f>'Actions robustes - V. PUBLIABLE'!$B$3:$B$49</c:f>
              <c:strCache>
                <c:ptCount val="47"/>
                <c:pt idx="0">
                  <c:v>Transmission, wifi, 1000 Mo</c:v>
                </c:pt>
                <c:pt idx="1">
                  <c:v>Paiement, e-banking, 1 paiement</c:v>
                </c:pt>
                <c:pt idx="2">
                  <c:v>Lecture, newsletter mail, 300 ko, 10 min</c:v>
                </c:pt>
                <c:pt idx="3">
                  <c:v>Ecoute, radio, live, FM, 1 h</c:v>
                </c:pt>
                <c:pt idx="4">
                  <c:v>Transmission, wifi, 1 h</c:v>
                </c:pt>
                <c:pt idx="5">
                  <c:v>Envoi email, 1 email, pièce jointe 1 Mo</c:v>
                </c:pt>
                <c:pt idx="6">
                  <c:v>Impression, noir et blanc, recto, 1 feuille A4</c:v>
                </c:pt>
                <c:pt idx="7">
                  <c:v>Transmission, fibre, 1000 Mo</c:v>
                </c:pt>
                <c:pt idx="8">
                  <c:v>Ecoute, musique, streaming, smartphone, 1 h</c:v>
                </c:pt>
                <c:pt idx="9">
                  <c:v>Ordinateur, usage bureautique, 1 h</c:v>
                </c:pt>
                <c:pt idx="10">
                  <c:v>Video, streaming, smartphone, LD, 1 h</c:v>
                </c:pt>
                <c:pt idx="11">
                  <c:v>Ecoute, radio, live, laptop, 1 h</c:v>
                </c:pt>
                <c:pt idx="12">
                  <c:v>Lecture, journal local, ordinateur, PDF téléchargé</c:v>
                </c:pt>
                <c:pt idx="13">
                  <c:v>Ecoute, radio, replay, laptop, 1 h</c:v>
                </c:pt>
                <c:pt idx="14">
                  <c:v>Stockage, disque externe, 1000 photos, 1 an</c:v>
                </c:pt>
                <c:pt idx="15">
                  <c:v>Video, streaming, laptop, youtube, LD, 1 h</c:v>
                </c:pt>
                <c:pt idx="16">
                  <c:v>Recherche, moteur de recherche, laptop, 100 recherches, 1 h</c:v>
                </c:pt>
                <c:pt idx="17">
                  <c:v>Eau bouillie, bouilloire, 1 L</c:v>
                </c:pt>
                <c:pt idx="18">
                  <c:v>Video, live, smartphone, téléjournal, SD, 1 h</c:v>
                </c:pt>
                <c:pt idx="19">
                  <c:v>Lecture, journal local, ordinateur, lecture en ligne</c:v>
                </c:pt>
                <c:pt idx="20">
                  <c:v>Transmission, données mobiles, 1000 Mo</c:v>
                </c:pt>
                <c:pt idx="21">
                  <c:v>Discussion, par tele-conference, partage d'écran, SANS vidéo, 2 personnes, 1 h</c:v>
                </c:pt>
                <c:pt idx="22">
                  <c:v>Video, streaming, laptop, fournisseur de films, SD, 1 h</c:v>
                </c:pt>
                <c:pt idx="23">
                  <c:v>Discussion, par tele-conference, partage d'écran, AVEC vidéo, 2 personnes, 1 h</c:v>
                </c:pt>
                <c:pt idx="24">
                  <c:v>Video, streaming, ecran TV, fournisseur de films, SD, 1 h</c:v>
                </c:pt>
                <c:pt idx="25">
                  <c:v>Video, live, laptop, téléjournal, HD, 1 h</c:v>
                </c:pt>
                <c:pt idx="26">
                  <c:v>Video, streaming (replay), laptop, téléjournal, HD, 1 h</c:v>
                </c:pt>
                <c:pt idx="27">
                  <c:v>Lecture, journal local, papier</c:v>
                </c:pt>
                <c:pt idx="28">
                  <c:v>Video, streaming, laptop, fournisseur de films, HD, 1 h</c:v>
                </c:pt>
                <c:pt idx="29">
                  <c:v>Video, streaming, ecran TV, fournisseur de films, HD, 1 h</c:v>
                </c:pt>
                <c:pt idx="30">
                  <c:v>Lecture, roman e-book, 300 pages</c:v>
                </c:pt>
                <c:pt idx="31">
                  <c:v>Trajet voiture, 1 km</c:v>
                </c:pt>
                <c:pt idx="32">
                  <c:v>Café, unité</c:v>
                </c:pt>
                <c:pt idx="33">
                  <c:v>Lecture, roman papier, achat en librairie, 300 pages</c:v>
                </c:pt>
                <c:pt idx="34">
                  <c:v>Carottes suisses, cuites, 250 g</c:v>
                </c:pt>
                <c:pt idx="35">
                  <c:v>Lecture, roman papier, achat en ligne, 300 pages</c:v>
                </c:pt>
                <c:pt idx="36">
                  <c:v>Stockage, cloud, 1000 photos, 1 an</c:v>
                </c:pt>
                <c:pt idx="37">
                  <c:v>Stockage, cloud, 1000 emails, 5 ans</c:v>
                </c:pt>
                <c:pt idx="38">
                  <c:v>Envoi email, 1000 emails, sans logo</c:v>
                </c:pt>
                <c:pt idx="39">
                  <c:v>Envoi email, 1000 emails, avec logo</c:v>
                </c:pt>
                <c:pt idx="40">
                  <c:v>Chaussures, commande en ligne, une paire</c:v>
                </c:pt>
                <c:pt idx="41">
                  <c:v>Chaussures, achat en magasin, une paire</c:v>
                </c:pt>
                <c:pt idx="42">
                  <c:v>Entrecôte de boeuf suisse, 250 g</c:v>
                </c:pt>
                <c:pt idx="43">
                  <c:v>Chaussures, commande en ligne, trois paires, deux renvoyées et détruites</c:v>
                </c:pt>
                <c:pt idx="44">
                  <c:v>Trajet avion, Lausanne-Berlin, classe eco, aller-retour, un passager</c:v>
                </c:pt>
                <c:pt idx="45">
                  <c:v>Trajet voiture, Lausanne-Berlin, aller-retour</c:v>
                </c:pt>
                <c:pt idx="46">
                  <c:v>Trajet avion, Genève-New York, classe eco, aller-retour, un passager</c:v>
                </c:pt>
              </c:strCache>
            </c:strRef>
          </c:cat>
          <c:val>
            <c:numRef>
              <c:f>'Actions robustes - V. PUBLIABLE'!$K$3:$K$49</c:f>
              <c:numCache>
                <c:formatCode>0</c:formatCode>
                <c:ptCount val="47"/>
                <c:pt idx="0" formatCode="0.0000">
                  <c:v>1.6061298148313992</c:v>
                </c:pt>
                <c:pt idx="1">
                  <c:v>6.8522713317366897</c:v>
                </c:pt>
                <c:pt idx="2">
                  <c:v>11.751316610752804</c:v>
                </c:pt>
                <c:pt idx="3">
                  <c:v>16.913377712174636</c:v>
                </c:pt>
                <c:pt idx="4">
                  <c:v>9.785036995409655</c:v>
                </c:pt>
                <c:pt idx="5">
                  <c:v>20.999278126648804</c:v>
                </c:pt>
                <c:pt idx="6">
                  <c:v>16.369906693072139</c:v>
                </c:pt>
                <c:pt idx="7">
                  <c:v>46.894859790530845</c:v>
                </c:pt>
                <c:pt idx="8">
                  <c:v>37.032159748364052</c:v>
                </c:pt>
                <c:pt idx="9">
                  <c:v>38.861723611432915</c:v>
                </c:pt>
                <c:pt idx="10">
                  <c:v>67.024095265307949</c:v>
                </c:pt>
                <c:pt idx="11">
                  <c:v>69.528980711393928</c:v>
                </c:pt>
                <c:pt idx="12">
                  <c:v>76.144878055984009</c:v>
                </c:pt>
                <c:pt idx="13">
                  <c:v>83.119854408362883</c:v>
                </c:pt>
                <c:pt idx="14">
                  <c:v>88.404094173463037</c:v>
                </c:pt>
                <c:pt idx="15">
                  <c:v>126.09184888381503</c:v>
                </c:pt>
                <c:pt idx="16">
                  <c:v>98.256305597384568</c:v>
                </c:pt>
                <c:pt idx="17">
                  <c:v>80.961548500520763</c:v>
                </c:pt>
                <c:pt idx="18">
                  <c:v>144.24932367023359</c:v>
                </c:pt>
                <c:pt idx="19">
                  <c:v>103.79390120549904</c:v>
                </c:pt>
                <c:pt idx="20">
                  <c:v>176.47882271435222</c:v>
                </c:pt>
                <c:pt idx="21">
                  <c:v>114.81430544554115</c:v>
                </c:pt>
                <c:pt idx="22">
                  <c:v>192.87955388918874</c:v>
                </c:pt>
                <c:pt idx="23">
                  <c:v>161.12347728702272</c:v>
                </c:pt>
                <c:pt idx="24">
                  <c:v>179.11906736160904</c:v>
                </c:pt>
                <c:pt idx="25">
                  <c:v>181.36490803342861</c:v>
                </c:pt>
                <c:pt idx="26">
                  <c:v>194.7504428854518</c:v>
                </c:pt>
                <c:pt idx="27">
                  <c:v>181.57038618197285</c:v>
                </c:pt>
                <c:pt idx="28">
                  <c:v>500.10299319421188</c:v>
                </c:pt>
                <c:pt idx="29">
                  <c:v>409.53665366537632</c:v>
                </c:pt>
                <c:pt idx="30">
                  <c:v>596.77338749191858</c:v>
                </c:pt>
                <c:pt idx="31">
                  <c:v>490.6152252223834</c:v>
                </c:pt>
                <c:pt idx="32">
                  <c:v>514.38917912361592</c:v>
                </c:pt>
                <c:pt idx="33">
                  <c:v>1120.7677489823009</c:v>
                </c:pt>
                <c:pt idx="34">
                  <c:v>1961.0122293519789</c:v>
                </c:pt>
                <c:pt idx="35">
                  <c:v>11272.477554756359</c:v>
                </c:pt>
                <c:pt idx="36">
                  <c:v>9540.5196902568041</c:v>
                </c:pt>
                <c:pt idx="37">
                  <c:v>12406.356663067867</c:v>
                </c:pt>
                <c:pt idx="38">
                  <c:v>15252.626761396206</c:v>
                </c:pt>
                <c:pt idx="39">
                  <c:v>15389.180922117297</c:v>
                </c:pt>
                <c:pt idx="40">
                  <c:v>32658.405441594128</c:v>
                </c:pt>
                <c:pt idx="41">
                  <c:v>34182.356252635516</c:v>
                </c:pt>
                <c:pt idx="42">
                  <c:v>54387.835039381018</c:v>
                </c:pt>
                <c:pt idx="43">
                  <c:v>97975.216443882382</c:v>
                </c:pt>
                <c:pt idx="44">
                  <c:v>659784.30842123798</c:v>
                </c:pt>
                <c:pt idx="45">
                  <c:v>960096.25798351108</c:v>
                </c:pt>
                <c:pt idx="46">
                  <c:v>3258326.9154424495</c:v>
                </c:pt>
              </c:numCache>
            </c:numRef>
          </c:val>
          <c:extLst>
            <c:ext xmlns:c16="http://schemas.microsoft.com/office/drawing/2014/chart" uri="{C3380CC4-5D6E-409C-BE32-E72D297353CC}">
              <c16:uniqueId val="{00000001-DFCB-4465-9B6F-9D9266F5A471}"/>
            </c:ext>
          </c:extLst>
        </c:ser>
        <c:dLbls>
          <c:showLegendKey val="0"/>
          <c:showVal val="0"/>
          <c:showCatName val="0"/>
          <c:showSerName val="0"/>
          <c:showPercent val="0"/>
          <c:showBubbleSize val="0"/>
        </c:dLbls>
        <c:gapWidth val="182"/>
        <c:axId val="531910528"/>
        <c:axId val="531910856"/>
      </c:barChart>
      <c:catAx>
        <c:axId val="53191052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de-DE"/>
          </a:p>
        </c:txPr>
        <c:crossAx val="531910856"/>
        <c:crosses val="autoZero"/>
        <c:auto val="1"/>
        <c:lblAlgn val="ctr"/>
        <c:lblOffset val="100"/>
        <c:noMultiLvlLbl val="0"/>
      </c:catAx>
      <c:valAx>
        <c:axId val="531910856"/>
        <c:scaling>
          <c:logBase val="10"/>
          <c:orientation val="minMax"/>
          <c:min val="1"/>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1910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none" spc="0" normalizeH="0" baseline="0">
                <a:solidFill>
                  <a:schemeClr val="tx1">
                    <a:lumMod val="65000"/>
                    <a:lumOff val="35000"/>
                  </a:schemeClr>
                </a:solidFill>
                <a:latin typeface="+mj-lt"/>
                <a:ea typeface="+mj-ea"/>
                <a:cs typeface="+mj-cs"/>
              </a:defRPr>
            </a:pPr>
            <a:r>
              <a:rPr lang="de-CH" b="1"/>
              <a:t>Ecoscore [UCE]</a:t>
            </a:r>
          </a:p>
        </c:rich>
      </c:tx>
      <c:layout/>
      <c:overlay val="0"/>
      <c:spPr>
        <a:noFill/>
        <a:ln>
          <a:noFill/>
        </a:ln>
        <a:effectLst/>
      </c:spPr>
      <c:txPr>
        <a:bodyPr rot="0" spcFirstLastPara="1" vertOverflow="ellipsis" vert="horz" wrap="square" anchor="ctr" anchorCtr="1"/>
        <a:lstStyle/>
        <a:p>
          <a:pPr>
            <a:defRPr sz="2000" b="1" i="0" u="none" strike="noStrike" kern="1200" cap="none" spc="0" normalizeH="0" baseline="0">
              <a:solidFill>
                <a:schemeClr val="tx1">
                  <a:lumMod val="65000"/>
                  <a:lumOff val="35000"/>
                </a:schemeClr>
              </a:solidFill>
              <a:latin typeface="+mj-lt"/>
              <a:ea typeface="+mj-ea"/>
              <a:cs typeface="+mj-cs"/>
            </a:defRPr>
          </a:pPr>
          <a:endParaRPr lang="de-DE"/>
        </a:p>
      </c:txPr>
    </c:title>
    <c:autoTitleDeleted val="0"/>
    <c:plotArea>
      <c:layout>
        <c:manualLayout>
          <c:layoutTarget val="inner"/>
          <c:xMode val="edge"/>
          <c:yMode val="edge"/>
          <c:x val="3.3429246191469378E-2"/>
          <c:y val="4.2160075626404739E-2"/>
          <c:w val="0.96136063886078915"/>
          <c:h val="0.65015677132921268"/>
        </c:manualLayout>
      </c:layout>
      <c:stockChart>
        <c:ser>
          <c:idx val="0"/>
          <c:order val="0"/>
          <c:spPr>
            <a:ln w="25400" cap="rnd">
              <a:noFill/>
              <a:round/>
            </a:ln>
            <a:effectLst/>
          </c:spPr>
          <c:marker>
            <c:symbol val="circle"/>
            <c:size val="8"/>
            <c:spPr>
              <a:solidFill>
                <a:srgbClr val="00B050"/>
              </a:solidFill>
              <a:ln>
                <a:noFill/>
              </a:ln>
              <a:effectLst/>
            </c:spPr>
          </c:marker>
          <c:cat>
            <c:strRef>
              <c:f>'Actions robustes - V. PUBLIABLE'!$B$3:$B$49</c:f>
              <c:strCache>
                <c:ptCount val="47"/>
                <c:pt idx="0">
                  <c:v>Transmission, wifi, 1000 Mo</c:v>
                </c:pt>
                <c:pt idx="1">
                  <c:v>Paiement, e-banking, 1 paiement</c:v>
                </c:pt>
                <c:pt idx="2">
                  <c:v>Lecture, newsletter mail, 300 ko, 10 min</c:v>
                </c:pt>
                <c:pt idx="3">
                  <c:v>Ecoute, radio, live, FM, 1 h</c:v>
                </c:pt>
                <c:pt idx="4">
                  <c:v>Transmission, wifi, 1 h</c:v>
                </c:pt>
                <c:pt idx="5">
                  <c:v>Envoi email, 1 email, pièce jointe 1 Mo</c:v>
                </c:pt>
                <c:pt idx="6">
                  <c:v>Impression, noir et blanc, recto, 1 feuille A4</c:v>
                </c:pt>
                <c:pt idx="7">
                  <c:v>Transmission, fibre, 1000 Mo</c:v>
                </c:pt>
                <c:pt idx="8">
                  <c:v>Ecoute, musique, streaming, smartphone, 1 h</c:v>
                </c:pt>
                <c:pt idx="9">
                  <c:v>Ordinateur, usage bureautique, 1 h</c:v>
                </c:pt>
                <c:pt idx="10">
                  <c:v>Video, streaming, smartphone, LD, 1 h</c:v>
                </c:pt>
                <c:pt idx="11">
                  <c:v>Ecoute, radio, live, laptop, 1 h</c:v>
                </c:pt>
                <c:pt idx="12">
                  <c:v>Lecture, journal local, ordinateur, PDF téléchargé</c:v>
                </c:pt>
                <c:pt idx="13">
                  <c:v>Ecoute, radio, replay, laptop, 1 h</c:v>
                </c:pt>
                <c:pt idx="14">
                  <c:v>Stockage, disque externe, 1000 photos, 1 an</c:v>
                </c:pt>
                <c:pt idx="15">
                  <c:v>Video, streaming, laptop, youtube, LD, 1 h</c:v>
                </c:pt>
                <c:pt idx="16">
                  <c:v>Recherche, moteur de recherche, laptop, 100 recherches, 1 h</c:v>
                </c:pt>
                <c:pt idx="17">
                  <c:v>Eau bouillie, bouilloire, 1 L</c:v>
                </c:pt>
                <c:pt idx="18">
                  <c:v>Video, live, smartphone, téléjournal, SD, 1 h</c:v>
                </c:pt>
                <c:pt idx="19">
                  <c:v>Lecture, journal local, ordinateur, lecture en ligne</c:v>
                </c:pt>
                <c:pt idx="20">
                  <c:v>Transmission, données mobiles, 1000 Mo</c:v>
                </c:pt>
                <c:pt idx="21">
                  <c:v>Discussion, par tele-conference, partage d'écran, SANS vidéo, 2 personnes, 1 h</c:v>
                </c:pt>
                <c:pt idx="22">
                  <c:v>Video, streaming, laptop, fournisseur de films, SD, 1 h</c:v>
                </c:pt>
                <c:pt idx="23">
                  <c:v>Discussion, par tele-conference, partage d'écran, AVEC vidéo, 2 personnes, 1 h</c:v>
                </c:pt>
                <c:pt idx="24">
                  <c:v>Video, streaming, ecran TV, fournisseur de films, SD, 1 h</c:v>
                </c:pt>
                <c:pt idx="25">
                  <c:v>Video, live, laptop, téléjournal, HD, 1 h</c:v>
                </c:pt>
                <c:pt idx="26">
                  <c:v>Video, streaming (replay), laptop, téléjournal, HD, 1 h</c:v>
                </c:pt>
                <c:pt idx="27">
                  <c:v>Lecture, journal local, papier</c:v>
                </c:pt>
                <c:pt idx="28">
                  <c:v>Video, streaming, laptop, fournisseur de films, HD, 1 h</c:v>
                </c:pt>
                <c:pt idx="29">
                  <c:v>Video, streaming, ecran TV, fournisseur de films, HD, 1 h</c:v>
                </c:pt>
                <c:pt idx="30">
                  <c:v>Lecture, roman e-book, 300 pages</c:v>
                </c:pt>
                <c:pt idx="31">
                  <c:v>Trajet voiture, 1 km</c:v>
                </c:pt>
                <c:pt idx="32">
                  <c:v>Café, unité</c:v>
                </c:pt>
                <c:pt idx="33">
                  <c:v>Lecture, roman papier, achat en librairie, 300 pages</c:v>
                </c:pt>
                <c:pt idx="34">
                  <c:v>Carottes suisses, cuites, 250 g</c:v>
                </c:pt>
                <c:pt idx="35">
                  <c:v>Lecture, roman papier, achat en ligne, 300 pages</c:v>
                </c:pt>
                <c:pt idx="36">
                  <c:v>Stockage, cloud, 1000 photos, 1 an</c:v>
                </c:pt>
                <c:pt idx="37">
                  <c:v>Stockage, cloud, 1000 emails, 5 ans</c:v>
                </c:pt>
                <c:pt idx="38">
                  <c:v>Envoi email, 1000 emails, sans logo</c:v>
                </c:pt>
                <c:pt idx="39">
                  <c:v>Envoi email, 1000 emails, avec logo</c:v>
                </c:pt>
                <c:pt idx="40">
                  <c:v>Chaussures, commande en ligne, une paire</c:v>
                </c:pt>
                <c:pt idx="41">
                  <c:v>Chaussures, achat en magasin, une paire</c:v>
                </c:pt>
                <c:pt idx="42">
                  <c:v>Entrecôte de boeuf suisse, 250 g</c:v>
                </c:pt>
                <c:pt idx="43">
                  <c:v>Chaussures, commande en ligne, trois paires, deux renvoyées et détruites</c:v>
                </c:pt>
                <c:pt idx="44">
                  <c:v>Trajet avion, Lausanne-Berlin, classe eco, aller-retour, un passager</c:v>
                </c:pt>
                <c:pt idx="45">
                  <c:v>Trajet voiture, Lausanne-Berlin, aller-retour</c:v>
                </c:pt>
                <c:pt idx="46">
                  <c:v>Trajet avion, Genève-New York, classe eco, aller-retour, un passager</c:v>
                </c:pt>
              </c:strCache>
            </c:strRef>
          </c:cat>
          <c:val>
            <c:numRef>
              <c:f>'Actions robustes - V. PUBLIABLE'!$G$3:$G$49</c:f>
              <c:numCache>
                <c:formatCode>0</c:formatCode>
                <c:ptCount val="47"/>
                <c:pt idx="0">
                  <c:v>1.2354844729472301</c:v>
                </c:pt>
                <c:pt idx="1">
                  <c:v>4.5681808878244601</c:v>
                </c:pt>
                <c:pt idx="2">
                  <c:v>7.8342110738352027</c:v>
                </c:pt>
                <c:pt idx="3">
                  <c:v>8.4566888560873181</c:v>
                </c:pt>
                <c:pt idx="4">
                  <c:v>8.8954881776451415</c:v>
                </c:pt>
                <c:pt idx="5">
                  <c:v>10.499639063324402</c:v>
                </c:pt>
                <c:pt idx="6">
                  <c:v>12.5922359177478</c:v>
                </c:pt>
                <c:pt idx="7">
                  <c:v>23.447429895265422</c:v>
                </c:pt>
                <c:pt idx="8">
                  <c:v>24.68810649890937</c:v>
                </c:pt>
                <c:pt idx="9">
                  <c:v>29.893633547256087</c:v>
                </c:pt>
                <c:pt idx="10">
                  <c:v>33.512047632653974</c:v>
                </c:pt>
                <c:pt idx="11">
                  <c:v>46.352653807595956</c:v>
                </c:pt>
                <c:pt idx="12">
                  <c:v>50.763252037322673</c:v>
                </c:pt>
                <c:pt idx="13">
                  <c:v>55.413236272241924</c:v>
                </c:pt>
                <c:pt idx="14">
                  <c:v>58.936062782308689</c:v>
                </c:pt>
                <c:pt idx="15">
                  <c:v>63.045924441907516</c:v>
                </c:pt>
                <c:pt idx="16">
                  <c:v>65.504203731589712</c:v>
                </c:pt>
                <c:pt idx="17">
                  <c:v>67.467957083767303</c:v>
                </c:pt>
                <c:pt idx="18">
                  <c:v>72.124661835116797</c:v>
                </c:pt>
                <c:pt idx="19">
                  <c:v>74.138500861070739</c:v>
                </c:pt>
                <c:pt idx="20">
                  <c:v>88.23941135717611</c:v>
                </c:pt>
                <c:pt idx="21">
                  <c:v>88.318696496570112</c:v>
                </c:pt>
                <c:pt idx="22">
                  <c:v>96.439776944594371</c:v>
                </c:pt>
                <c:pt idx="23">
                  <c:v>115.08819806215908</c:v>
                </c:pt>
                <c:pt idx="24">
                  <c:v>119.41271157440602</c:v>
                </c:pt>
                <c:pt idx="25">
                  <c:v>120.90993868895241</c:v>
                </c:pt>
                <c:pt idx="26">
                  <c:v>129.8336285903012</c:v>
                </c:pt>
                <c:pt idx="27">
                  <c:v>139.6695278322868</c:v>
                </c:pt>
                <c:pt idx="28">
                  <c:v>250.05149659710594</c:v>
                </c:pt>
                <c:pt idx="29">
                  <c:v>273.02443577691753</c:v>
                </c:pt>
                <c:pt idx="30">
                  <c:v>298.38669374595929</c:v>
                </c:pt>
                <c:pt idx="31">
                  <c:v>377.3963270941411</c:v>
                </c:pt>
                <c:pt idx="32">
                  <c:v>395.68398394124301</c:v>
                </c:pt>
                <c:pt idx="33">
                  <c:v>862.12903767869295</c:v>
                </c:pt>
                <c:pt idx="34">
                  <c:v>980.50611467598947</c:v>
                </c:pt>
                <c:pt idx="35">
                  <c:v>2254.4955109512716</c:v>
                </c:pt>
                <c:pt idx="36">
                  <c:v>2385.129922564201</c:v>
                </c:pt>
                <c:pt idx="37">
                  <c:v>3101.5891657669667</c:v>
                </c:pt>
                <c:pt idx="38">
                  <c:v>7626.3133806981032</c:v>
                </c:pt>
                <c:pt idx="39">
                  <c:v>7694.5904610586485</c:v>
                </c:pt>
                <c:pt idx="40">
                  <c:v>21772.270294396087</c:v>
                </c:pt>
                <c:pt idx="41">
                  <c:v>22788.237501757012</c:v>
                </c:pt>
                <c:pt idx="42">
                  <c:v>27193.917519690509</c:v>
                </c:pt>
                <c:pt idx="43">
                  <c:v>65316.81096258825</c:v>
                </c:pt>
                <c:pt idx="44">
                  <c:v>507526.39109325997</c:v>
                </c:pt>
                <c:pt idx="45">
                  <c:v>800080.21498625923</c:v>
                </c:pt>
                <c:pt idx="46">
                  <c:v>2506405.3195711151</c:v>
                </c:pt>
              </c:numCache>
            </c:numRef>
          </c:val>
          <c:smooth val="0"/>
          <c:extLst>
            <c:ext xmlns:c16="http://schemas.microsoft.com/office/drawing/2014/chart" uri="{C3380CC4-5D6E-409C-BE32-E72D297353CC}">
              <c16:uniqueId val="{00000000-AACE-49E0-A555-DE73B14A03E8}"/>
            </c:ext>
          </c:extLst>
        </c:ser>
        <c:ser>
          <c:idx val="1"/>
          <c:order val="1"/>
          <c:spPr>
            <a:ln w="25400" cap="rnd">
              <a:noFill/>
              <a:round/>
            </a:ln>
            <a:effectLst/>
          </c:spPr>
          <c:marker>
            <c:symbol val="dash"/>
            <c:size val="5"/>
            <c:spPr>
              <a:solidFill>
                <a:schemeClr val="tx1"/>
              </a:solidFill>
              <a:ln>
                <a:noFill/>
              </a:ln>
              <a:effectLst/>
            </c:spPr>
          </c:marker>
          <c:cat>
            <c:strRef>
              <c:f>'Actions robustes - V. PUBLIABLE'!$B$3:$B$49</c:f>
              <c:strCache>
                <c:ptCount val="47"/>
                <c:pt idx="0">
                  <c:v>Transmission, wifi, 1000 Mo</c:v>
                </c:pt>
                <c:pt idx="1">
                  <c:v>Paiement, e-banking, 1 paiement</c:v>
                </c:pt>
                <c:pt idx="2">
                  <c:v>Lecture, newsletter mail, 300 ko, 10 min</c:v>
                </c:pt>
                <c:pt idx="3">
                  <c:v>Ecoute, radio, live, FM, 1 h</c:v>
                </c:pt>
                <c:pt idx="4">
                  <c:v>Transmission, wifi, 1 h</c:v>
                </c:pt>
                <c:pt idx="5">
                  <c:v>Envoi email, 1 email, pièce jointe 1 Mo</c:v>
                </c:pt>
                <c:pt idx="6">
                  <c:v>Impression, noir et blanc, recto, 1 feuille A4</c:v>
                </c:pt>
                <c:pt idx="7">
                  <c:v>Transmission, fibre, 1000 Mo</c:v>
                </c:pt>
                <c:pt idx="8">
                  <c:v>Ecoute, musique, streaming, smartphone, 1 h</c:v>
                </c:pt>
                <c:pt idx="9">
                  <c:v>Ordinateur, usage bureautique, 1 h</c:v>
                </c:pt>
                <c:pt idx="10">
                  <c:v>Video, streaming, smartphone, LD, 1 h</c:v>
                </c:pt>
                <c:pt idx="11">
                  <c:v>Ecoute, radio, live, laptop, 1 h</c:v>
                </c:pt>
                <c:pt idx="12">
                  <c:v>Lecture, journal local, ordinateur, PDF téléchargé</c:v>
                </c:pt>
                <c:pt idx="13">
                  <c:v>Ecoute, radio, replay, laptop, 1 h</c:v>
                </c:pt>
                <c:pt idx="14">
                  <c:v>Stockage, disque externe, 1000 photos, 1 an</c:v>
                </c:pt>
                <c:pt idx="15">
                  <c:v>Video, streaming, laptop, youtube, LD, 1 h</c:v>
                </c:pt>
                <c:pt idx="16">
                  <c:v>Recherche, moteur de recherche, laptop, 100 recherches, 1 h</c:v>
                </c:pt>
                <c:pt idx="17">
                  <c:v>Eau bouillie, bouilloire, 1 L</c:v>
                </c:pt>
                <c:pt idx="18">
                  <c:v>Video, live, smartphone, téléjournal, SD, 1 h</c:v>
                </c:pt>
                <c:pt idx="19">
                  <c:v>Lecture, journal local, ordinateur, lecture en ligne</c:v>
                </c:pt>
                <c:pt idx="20">
                  <c:v>Transmission, données mobiles, 1000 Mo</c:v>
                </c:pt>
                <c:pt idx="21">
                  <c:v>Discussion, par tele-conference, partage d'écran, SANS vidéo, 2 personnes, 1 h</c:v>
                </c:pt>
                <c:pt idx="22">
                  <c:v>Video, streaming, laptop, fournisseur de films, SD, 1 h</c:v>
                </c:pt>
                <c:pt idx="23">
                  <c:v>Discussion, par tele-conference, partage d'écran, AVEC vidéo, 2 personnes, 1 h</c:v>
                </c:pt>
                <c:pt idx="24">
                  <c:v>Video, streaming, ecran TV, fournisseur de films, SD, 1 h</c:v>
                </c:pt>
                <c:pt idx="25">
                  <c:v>Video, live, laptop, téléjournal, HD, 1 h</c:v>
                </c:pt>
                <c:pt idx="26">
                  <c:v>Video, streaming (replay), laptop, téléjournal, HD, 1 h</c:v>
                </c:pt>
                <c:pt idx="27">
                  <c:v>Lecture, journal local, papier</c:v>
                </c:pt>
                <c:pt idx="28">
                  <c:v>Video, streaming, laptop, fournisseur de films, HD, 1 h</c:v>
                </c:pt>
                <c:pt idx="29">
                  <c:v>Video, streaming, ecran TV, fournisseur de films, HD, 1 h</c:v>
                </c:pt>
                <c:pt idx="30">
                  <c:v>Lecture, roman e-book, 300 pages</c:v>
                </c:pt>
                <c:pt idx="31">
                  <c:v>Trajet voiture, 1 km</c:v>
                </c:pt>
                <c:pt idx="32">
                  <c:v>Café, unité</c:v>
                </c:pt>
                <c:pt idx="33">
                  <c:v>Lecture, roman papier, achat en librairie, 300 pages</c:v>
                </c:pt>
                <c:pt idx="34">
                  <c:v>Carottes suisses, cuites, 250 g</c:v>
                </c:pt>
                <c:pt idx="35">
                  <c:v>Lecture, roman papier, achat en ligne, 300 pages</c:v>
                </c:pt>
                <c:pt idx="36">
                  <c:v>Stockage, cloud, 1000 photos, 1 an</c:v>
                </c:pt>
                <c:pt idx="37">
                  <c:v>Stockage, cloud, 1000 emails, 5 ans</c:v>
                </c:pt>
                <c:pt idx="38">
                  <c:v>Envoi email, 1000 emails, sans logo</c:v>
                </c:pt>
                <c:pt idx="39">
                  <c:v>Envoi email, 1000 emails, avec logo</c:v>
                </c:pt>
                <c:pt idx="40">
                  <c:v>Chaussures, commande en ligne, une paire</c:v>
                </c:pt>
                <c:pt idx="41">
                  <c:v>Chaussures, achat en magasin, une paire</c:v>
                </c:pt>
                <c:pt idx="42">
                  <c:v>Entrecôte de boeuf suisse, 250 g</c:v>
                </c:pt>
                <c:pt idx="43">
                  <c:v>Chaussures, commande en ligne, trois paires, deux renvoyées et détruites</c:v>
                </c:pt>
                <c:pt idx="44">
                  <c:v>Trajet avion, Lausanne-Berlin, classe eco, aller-retour, un passager</c:v>
                </c:pt>
                <c:pt idx="45">
                  <c:v>Trajet voiture, Lausanne-Berlin, aller-retour</c:v>
                </c:pt>
                <c:pt idx="46">
                  <c:v>Trajet avion, Genève-New York, classe eco, aller-retour, un passager</c:v>
                </c:pt>
              </c:strCache>
            </c:strRef>
          </c:cat>
          <c:val>
            <c:numRef>
              <c:f>'Actions robustes - V. PUBLIABLE'!$J$3:$J$49</c:f>
              <c:numCache>
                <c:formatCode>0</c:formatCode>
                <c:ptCount val="47"/>
                <c:pt idx="0" formatCode="0.0000">
                  <c:v>0.86483913106306098</c:v>
                </c:pt>
                <c:pt idx="1">
                  <c:v>2.28409044391223</c:v>
                </c:pt>
                <c:pt idx="2">
                  <c:v>3.9171055369176013</c:v>
                </c:pt>
                <c:pt idx="3">
                  <c:v>4.2283444280436591</c:v>
                </c:pt>
                <c:pt idx="4">
                  <c:v>8.0059393598806281</c:v>
                </c:pt>
                <c:pt idx="5">
                  <c:v>5.2498195316622009</c:v>
                </c:pt>
                <c:pt idx="6">
                  <c:v>8.8145651424234597</c:v>
                </c:pt>
                <c:pt idx="7">
                  <c:v>11.723714947632711</c:v>
                </c:pt>
                <c:pt idx="8">
                  <c:v>12.344053249454685</c:v>
                </c:pt>
                <c:pt idx="9">
                  <c:v>20.925543483079259</c:v>
                </c:pt>
                <c:pt idx="10">
                  <c:v>16.756023816326987</c:v>
                </c:pt>
                <c:pt idx="11">
                  <c:v>23.176326903797978</c:v>
                </c:pt>
                <c:pt idx="12">
                  <c:v>25.381626018661336</c:v>
                </c:pt>
                <c:pt idx="13">
                  <c:v>27.706618136120962</c:v>
                </c:pt>
                <c:pt idx="14">
                  <c:v>29.468031391154344</c:v>
                </c:pt>
                <c:pt idx="15">
                  <c:v>31.522962220953758</c:v>
                </c:pt>
                <c:pt idx="16">
                  <c:v>32.752101865794856</c:v>
                </c:pt>
                <c:pt idx="17">
                  <c:v>53.974365667013842</c:v>
                </c:pt>
                <c:pt idx="18">
                  <c:v>36.062330917558398</c:v>
                </c:pt>
                <c:pt idx="19">
                  <c:v>44.483100516642438</c:v>
                </c:pt>
                <c:pt idx="20">
                  <c:v>44.119705678588055</c:v>
                </c:pt>
                <c:pt idx="21">
                  <c:v>61.82308754759908</c:v>
                </c:pt>
                <c:pt idx="22">
                  <c:v>48.219888472297185</c:v>
                </c:pt>
                <c:pt idx="23">
                  <c:v>69.052918837295437</c:v>
                </c:pt>
                <c:pt idx="24">
                  <c:v>59.706355787203009</c:v>
                </c:pt>
                <c:pt idx="25">
                  <c:v>60.454969344476204</c:v>
                </c:pt>
                <c:pt idx="26">
                  <c:v>64.916814295150601</c:v>
                </c:pt>
                <c:pt idx="27">
                  <c:v>97.768669482600757</c:v>
                </c:pt>
                <c:pt idx="28">
                  <c:v>125.02574829855297</c:v>
                </c:pt>
                <c:pt idx="29">
                  <c:v>136.51221788845876</c:v>
                </c:pt>
                <c:pt idx="30">
                  <c:v>149.19334687297965</c:v>
                </c:pt>
                <c:pt idx="31">
                  <c:v>264.1774289658988</c:v>
                </c:pt>
                <c:pt idx="32">
                  <c:v>276.97878875887011</c:v>
                </c:pt>
                <c:pt idx="33">
                  <c:v>603.49032637508503</c:v>
                </c:pt>
                <c:pt idx="34">
                  <c:v>490.25305733799473</c:v>
                </c:pt>
                <c:pt idx="35">
                  <c:v>450.89910219025433</c:v>
                </c:pt>
                <c:pt idx="36">
                  <c:v>596.28248064105026</c:v>
                </c:pt>
                <c:pt idx="37">
                  <c:v>775.39729144174169</c:v>
                </c:pt>
                <c:pt idx="38">
                  <c:v>3813.1566903490516</c:v>
                </c:pt>
                <c:pt idx="39">
                  <c:v>3847.2952305293243</c:v>
                </c:pt>
                <c:pt idx="40">
                  <c:v>10886.135147198043</c:v>
                </c:pt>
                <c:pt idx="41">
                  <c:v>11394.118750878506</c:v>
                </c:pt>
                <c:pt idx="42">
                  <c:v>13596.958759845254</c:v>
                </c:pt>
                <c:pt idx="43">
                  <c:v>32658.405481294125</c:v>
                </c:pt>
                <c:pt idx="44">
                  <c:v>355268.47376528196</c:v>
                </c:pt>
                <c:pt idx="45">
                  <c:v>640064.17198900739</c:v>
                </c:pt>
                <c:pt idx="46">
                  <c:v>1754483.7236997806</c:v>
                </c:pt>
              </c:numCache>
            </c:numRef>
          </c:val>
          <c:smooth val="0"/>
          <c:extLst>
            <c:ext xmlns:c16="http://schemas.microsoft.com/office/drawing/2014/chart" uri="{C3380CC4-5D6E-409C-BE32-E72D297353CC}">
              <c16:uniqueId val="{00000001-AACE-49E0-A555-DE73B14A03E8}"/>
            </c:ext>
          </c:extLst>
        </c:ser>
        <c:ser>
          <c:idx val="2"/>
          <c:order val="2"/>
          <c:spPr>
            <a:ln w="25400" cap="rnd">
              <a:noFill/>
              <a:round/>
            </a:ln>
            <a:effectLst/>
          </c:spPr>
          <c:marker>
            <c:symbol val="dash"/>
            <c:size val="5"/>
            <c:spPr>
              <a:solidFill>
                <a:schemeClr val="tx1"/>
              </a:solidFill>
              <a:ln>
                <a:noFill/>
              </a:ln>
              <a:effectLst/>
            </c:spPr>
          </c:marker>
          <c:cat>
            <c:strRef>
              <c:f>'Actions robustes - V. PUBLIABLE'!$B$3:$B$49</c:f>
              <c:strCache>
                <c:ptCount val="47"/>
                <c:pt idx="0">
                  <c:v>Transmission, wifi, 1000 Mo</c:v>
                </c:pt>
                <c:pt idx="1">
                  <c:v>Paiement, e-banking, 1 paiement</c:v>
                </c:pt>
                <c:pt idx="2">
                  <c:v>Lecture, newsletter mail, 300 ko, 10 min</c:v>
                </c:pt>
                <c:pt idx="3">
                  <c:v>Ecoute, radio, live, FM, 1 h</c:v>
                </c:pt>
                <c:pt idx="4">
                  <c:v>Transmission, wifi, 1 h</c:v>
                </c:pt>
                <c:pt idx="5">
                  <c:v>Envoi email, 1 email, pièce jointe 1 Mo</c:v>
                </c:pt>
                <c:pt idx="6">
                  <c:v>Impression, noir et blanc, recto, 1 feuille A4</c:v>
                </c:pt>
                <c:pt idx="7">
                  <c:v>Transmission, fibre, 1000 Mo</c:v>
                </c:pt>
                <c:pt idx="8">
                  <c:v>Ecoute, musique, streaming, smartphone, 1 h</c:v>
                </c:pt>
                <c:pt idx="9">
                  <c:v>Ordinateur, usage bureautique, 1 h</c:v>
                </c:pt>
                <c:pt idx="10">
                  <c:v>Video, streaming, smartphone, LD, 1 h</c:v>
                </c:pt>
                <c:pt idx="11">
                  <c:v>Ecoute, radio, live, laptop, 1 h</c:v>
                </c:pt>
                <c:pt idx="12">
                  <c:v>Lecture, journal local, ordinateur, PDF téléchargé</c:v>
                </c:pt>
                <c:pt idx="13">
                  <c:v>Ecoute, radio, replay, laptop, 1 h</c:v>
                </c:pt>
                <c:pt idx="14">
                  <c:v>Stockage, disque externe, 1000 photos, 1 an</c:v>
                </c:pt>
                <c:pt idx="15">
                  <c:v>Video, streaming, laptop, youtube, LD, 1 h</c:v>
                </c:pt>
                <c:pt idx="16">
                  <c:v>Recherche, moteur de recherche, laptop, 100 recherches, 1 h</c:v>
                </c:pt>
                <c:pt idx="17">
                  <c:v>Eau bouillie, bouilloire, 1 L</c:v>
                </c:pt>
                <c:pt idx="18">
                  <c:v>Video, live, smartphone, téléjournal, SD, 1 h</c:v>
                </c:pt>
                <c:pt idx="19">
                  <c:v>Lecture, journal local, ordinateur, lecture en ligne</c:v>
                </c:pt>
                <c:pt idx="20">
                  <c:v>Transmission, données mobiles, 1000 Mo</c:v>
                </c:pt>
                <c:pt idx="21">
                  <c:v>Discussion, par tele-conference, partage d'écran, SANS vidéo, 2 personnes, 1 h</c:v>
                </c:pt>
                <c:pt idx="22">
                  <c:v>Video, streaming, laptop, fournisseur de films, SD, 1 h</c:v>
                </c:pt>
                <c:pt idx="23">
                  <c:v>Discussion, par tele-conference, partage d'écran, AVEC vidéo, 2 personnes, 1 h</c:v>
                </c:pt>
                <c:pt idx="24">
                  <c:v>Video, streaming, ecran TV, fournisseur de films, SD, 1 h</c:v>
                </c:pt>
                <c:pt idx="25">
                  <c:v>Video, live, laptop, téléjournal, HD, 1 h</c:v>
                </c:pt>
                <c:pt idx="26">
                  <c:v>Video, streaming (replay), laptop, téléjournal, HD, 1 h</c:v>
                </c:pt>
                <c:pt idx="27">
                  <c:v>Lecture, journal local, papier</c:v>
                </c:pt>
                <c:pt idx="28">
                  <c:v>Video, streaming, laptop, fournisseur de films, HD, 1 h</c:v>
                </c:pt>
                <c:pt idx="29">
                  <c:v>Video, streaming, ecran TV, fournisseur de films, HD, 1 h</c:v>
                </c:pt>
                <c:pt idx="30">
                  <c:v>Lecture, roman e-book, 300 pages</c:v>
                </c:pt>
                <c:pt idx="31">
                  <c:v>Trajet voiture, 1 km</c:v>
                </c:pt>
                <c:pt idx="32">
                  <c:v>Café, unité</c:v>
                </c:pt>
                <c:pt idx="33">
                  <c:v>Lecture, roman papier, achat en librairie, 300 pages</c:v>
                </c:pt>
                <c:pt idx="34">
                  <c:v>Carottes suisses, cuites, 250 g</c:v>
                </c:pt>
                <c:pt idx="35">
                  <c:v>Lecture, roman papier, achat en ligne, 300 pages</c:v>
                </c:pt>
                <c:pt idx="36">
                  <c:v>Stockage, cloud, 1000 photos, 1 an</c:v>
                </c:pt>
                <c:pt idx="37">
                  <c:v>Stockage, cloud, 1000 emails, 5 ans</c:v>
                </c:pt>
                <c:pt idx="38">
                  <c:v>Envoi email, 1000 emails, sans logo</c:v>
                </c:pt>
                <c:pt idx="39">
                  <c:v>Envoi email, 1000 emails, avec logo</c:v>
                </c:pt>
                <c:pt idx="40">
                  <c:v>Chaussures, commande en ligne, une paire</c:v>
                </c:pt>
                <c:pt idx="41">
                  <c:v>Chaussures, achat en magasin, une paire</c:v>
                </c:pt>
                <c:pt idx="42">
                  <c:v>Entrecôte de boeuf suisse, 250 g</c:v>
                </c:pt>
                <c:pt idx="43">
                  <c:v>Chaussures, commande en ligne, trois paires, deux renvoyées et détruites</c:v>
                </c:pt>
                <c:pt idx="44">
                  <c:v>Trajet avion, Lausanne-Berlin, classe eco, aller-retour, un passager</c:v>
                </c:pt>
                <c:pt idx="45">
                  <c:v>Trajet voiture, Lausanne-Berlin, aller-retour</c:v>
                </c:pt>
                <c:pt idx="46">
                  <c:v>Trajet avion, Genève-New York, classe eco, aller-retour, un passager</c:v>
                </c:pt>
              </c:strCache>
            </c:strRef>
          </c:cat>
          <c:val>
            <c:numRef>
              <c:f>'Actions robustes - V. PUBLIABLE'!$K$3:$K$49</c:f>
              <c:numCache>
                <c:formatCode>0</c:formatCode>
                <c:ptCount val="47"/>
                <c:pt idx="0" formatCode="0.0000">
                  <c:v>1.6061298148313992</c:v>
                </c:pt>
                <c:pt idx="1">
                  <c:v>6.8522713317366897</c:v>
                </c:pt>
                <c:pt idx="2">
                  <c:v>11.751316610752804</c:v>
                </c:pt>
                <c:pt idx="3">
                  <c:v>16.913377712174636</c:v>
                </c:pt>
                <c:pt idx="4">
                  <c:v>9.785036995409655</c:v>
                </c:pt>
                <c:pt idx="5">
                  <c:v>20.999278126648804</c:v>
                </c:pt>
                <c:pt idx="6">
                  <c:v>16.369906693072139</c:v>
                </c:pt>
                <c:pt idx="7">
                  <c:v>46.894859790530845</c:v>
                </c:pt>
                <c:pt idx="8">
                  <c:v>37.032159748364052</c:v>
                </c:pt>
                <c:pt idx="9">
                  <c:v>38.861723611432915</c:v>
                </c:pt>
                <c:pt idx="10">
                  <c:v>67.024095265307949</c:v>
                </c:pt>
                <c:pt idx="11">
                  <c:v>69.528980711393928</c:v>
                </c:pt>
                <c:pt idx="12">
                  <c:v>76.144878055984009</c:v>
                </c:pt>
                <c:pt idx="13">
                  <c:v>83.119854408362883</c:v>
                </c:pt>
                <c:pt idx="14">
                  <c:v>88.404094173463037</c:v>
                </c:pt>
                <c:pt idx="15">
                  <c:v>126.09184888381503</c:v>
                </c:pt>
                <c:pt idx="16">
                  <c:v>98.256305597384568</c:v>
                </c:pt>
                <c:pt idx="17">
                  <c:v>80.961548500520763</c:v>
                </c:pt>
                <c:pt idx="18">
                  <c:v>144.24932367023359</c:v>
                </c:pt>
                <c:pt idx="19">
                  <c:v>103.79390120549904</c:v>
                </c:pt>
                <c:pt idx="20">
                  <c:v>176.47882271435222</c:v>
                </c:pt>
                <c:pt idx="21">
                  <c:v>114.81430544554115</c:v>
                </c:pt>
                <c:pt idx="22">
                  <c:v>192.87955388918874</c:v>
                </c:pt>
                <c:pt idx="23">
                  <c:v>161.12347728702272</c:v>
                </c:pt>
                <c:pt idx="24">
                  <c:v>179.11906736160904</c:v>
                </c:pt>
                <c:pt idx="25">
                  <c:v>181.36490803342861</c:v>
                </c:pt>
                <c:pt idx="26">
                  <c:v>194.7504428854518</c:v>
                </c:pt>
                <c:pt idx="27">
                  <c:v>181.57038618197285</c:v>
                </c:pt>
                <c:pt idx="28">
                  <c:v>500.10299319421188</c:v>
                </c:pt>
                <c:pt idx="29">
                  <c:v>409.53665366537632</c:v>
                </c:pt>
                <c:pt idx="30">
                  <c:v>596.77338749191858</c:v>
                </c:pt>
                <c:pt idx="31">
                  <c:v>490.6152252223834</c:v>
                </c:pt>
                <c:pt idx="32">
                  <c:v>514.38917912361592</c:v>
                </c:pt>
                <c:pt idx="33">
                  <c:v>1120.7677489823009</c:v>
                </c:pt>
                <c:pt idx="34">
                  <c:v>1961.0122293519789</c:v>
                </c:pt>
                <c:pt idx="35">
                  <c:v>11272.477554756359</c:v>
                </c:pt>
                <c:pt idx="36">
                  <c:v>9540.5196902568041</c:v>
                </c:pt>
                <c:pt idx="37">
                  <c:v>12406.356663067867</c:v>
                </c:pt>
                <c:pt idx="38">
                  <c:v>15252.626761396206</c:v>
                </c:pt>
                <c:pt idx="39">
                  <c:v>15389.180922117297</c:v>
                </c:pt>
                <c:pt idx="40">
                  <c:v>32658.405441594128</c:v>
                </c:pt>
                <c:pt idx="41">
                  <c:v>34182.356252635516</c:v>
                </c:pt>
                <c:pt idx="42">
                  <c:v>54387.835039381018</c:v>
                </c:pt>
                <c:pt idx="43">
                  <c:v>97975.216443882382</c:v>
                </c:pt>
                <c:pt idx="44">
                  <c:v>659784.30842123798</c:v>
                </c:pt>
                <c:pt idx="45">
                  <c:v>960096.25798351108</c:v>
                </c:pt>
                <c:pt idx="46">
                  <c:v>3258326.9154424495</c:v>
                </c:pt>
              </c:numCache>
            </c:numRef>
          </c:val>
          <c:smooth val="0"/>
          <c:extLst>
            <c:ext xmlns:c16="http://schemas.microsoft.com/office/drawing/2014/chart" uri="{C3380CC4-5D6E-409C-BE32-E72D297353CC}">
              <c16:uniqueId val="{00000002-AACE-49E0-A555-DE73B14A03E8}"/>
            </c:ext>
          </c:extLst>
        </c:ser>
        <c:dLbls>
          <c:showLegendKey val="0"/>
          <c:showVal val="0"/>
          <c:showCatName val="0"/>
          <c:showSerName val="0"/>
          <c:showPercent val="0"/>
          <c:showBubbleSize val="0"/>
        </c:dLbls>
        <c:hiLowLines>
          <c:spPr>
            <a:ln w="25400" cap="flat" cmpd="sng" algn="ctr">
              <a:solidFill>
                <a:schemeClr val="tx1">
                  <a:lumMod val="65000"/>
                  <a:lumOff val="35000"/>
                </a:schemeClr>
              </a:solidFill>
              <a:round/>
            </a:ln>
            <a:effectLst/>
          </c:spPr>
        </c:hiLowLines>
        <c:axId val="638097768"/>
        <c:axId val="638095800"/>
      </c:stockChart>
      <c:catAx>
        <c:axId val="638097768"/>
        <c:scaling>
          <c:orientation val="minMax"/>
        </c:scaling>
        <c:delete val="0"/>
        <c:axPos val="b"/>
        <c:numFmt formatCode="General" sourceLinked="1"/>
        <c:majorTickMark val="none"/>
        <c:minorTickMark val="none"/>
        <c:tickLblPos val="nextTo"/>
        <c:spPr>
          <a:noFill/>
          <a:ln w="9525" cap="flat" cmpd="sng" algn="ctr">
            <a:solidFill>
              <a:schemeClr val="tx1">
                <a:lumMod val="35000"/>
                <a:lumOff val="6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de-DE"/>
          </a:p>
        </c:txPr>
        <c:crossAx val="638095800"/>
        <c:crossesAt val="0.1"/>
        <c:auto val="1"/>
        <c:lblAlgn val="ctr"/>
        <c:lblOffset val="100"/>
        <c:noMultiLvlLbl val="0"/>
      </c:catAx>
      <c:valAx>
        <c:axId val="638095800"/>
        <c:scaling>
          <c:orientation val="minMax"/>
          <c:max val="3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de-DE"/>
          </a:p>
        </c:txPr>
        <c:crossAx val="638097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none" spc="0" normalizeH="0" baseline="0">
                <a:solidFill>
                  <a:schemeClr val="tx1">
                    <a:lumMod val="65000"/>
                    <a:lumOff val="35000"/>
                  </a:schemeClr>
                </a:solidFill>
                <a:latin typeface="+mj-lt"/>
                <a:ea typeface="+mj-ea"/>
                <a:cs typeface="+mj-cs"/>
              </a:defRPr>
            </a:pPr>
            <a:r>
              <a:rPr lang="de-CH" b="1"/>
              <a:t>Empreinte Carbone [CO2</a:t>
            </a:r>
            <a:r>
              <a:rPr lang="de-CH" b="1" baseline="0"/>
              <a:t> en kg]</a:t>
            </a:r>
            <a:endParaRPr lang="de-CH" b="1"/>
          </a:p>
        </c:rich>
      </c:tx>
      <c:layout/>
      <c:overlay val="0"/>
      <c:spPr>
        <a:noFill/>
        <a:ln>
          <a:noFill/>
        </a:ln>
        <a:effectLst/>
      </c:spPr>
      <c:txPr>
        <a:bodyPr rot="0" spcFirstLastPara="1" vertOverflow="ellipsis" vert="horz" wrap="square" anchor="ctr" anchorCtr="1"/>
        <a:lstStyle/>
        <a:p>
          <a:pPr>
            <a:defRPr sz="2000" b="1" i="0" u="none" strike="noStrike" kern="1200" cap="none" spc="0" normalizeH="0" baseline="0">
              <a:solidFill>
                <a:schemeClr val="tx1">
                  <a:lumMod val="65000"/>
                  <a:lumOff val="35000"/>
                </a:schemeClr>
              </a:solidFill>
              <a:latin typeface="+mj-lt"/>
              <a:ea typeface="+mj-ea"/>
              <a:cs typeface="+mj-cs"/>
            </a:defRPr>
          </a:pPr>
          <a:endParaRPr lang="de-DE"/>
        </a:p>
      </c:txPr>
    </c:title>
    <c:autoTitleDeleted val="0"/>
    <c:plotArea>
      <c:layout>
        <c:manualLayout>
          <c:layoutTarget val="inner"/>
          <c:xMode val="edge"/>
          <c:yMode val="edge"/>
          <c:x val="3.3429246191469378E-2"/>
          <c:y val="4.2160075626404739E-2"/>
          <c:w val="0.96136063886078915"/>
          <c:h val="0.65015677132921268"/>
        </c:manualLayout>
      </c:layout>
      <c:stockChart>
        <c:ser>
          <c:idx val="0"/>
          <c:order val="0"/>
          <c:spPr>
            <a:ln w="25400" cap="rnd">
              <a:noFill/>
              <a:round/>
            </a:ln>
            <a:effectLst/>
          </c:spPr>
          <c:marker>
            <c:symbol val="circle"/>
            <c:size val="8"/>
            <c:spPr>
              <a:solidFill>
                <a:srgbClr val="00B050"/>
              </a:solidFill>
              <a:ln>
                <a:noFill/>
              </a:ln>
              <a:effectLst/>
            </c:spPr>
          </c:marker>
          <c:cat>
            <c:strRef>
              <c:f>'Actions robustes - V. PUBLIABLE'!$B$3:$B$49</c:f>
              <c:strCache>
                <c:ptCount val="47"/>
                <c:pt idx="0">
                  <c:v>Transmission, wifi, 1000 Mo</c:v>
                </c:pt>
                <c:pt idx="1">
                  <c:v>Paiement, e-banking, 1 paiement</c:v>
                </c:pt>
                <c:pt idx="2">
                  <c:v>Lecture, newsletter mail, 300 ko, 10 min</c:v>
                </c:pt>
                <c:pt idx="3">
                  <c:v>Ecoute, radio, live, FM, 1 h</c:v>
                </c:pt>
                <c:pt idx="4">
                  <c:v>Transmission, wifi, 1 h</c:v>
                </c:pt>
                <c:pt idx="5">
                  <c:v>Envoi email, 1 email, pièce jointe 1 Mo</c:v>
                </c:pt>
                <c:pt idx="6">
                  <c:v>Impression, noir et blanc, recto, 1 feuille A4</c:v>
                </c:pt>
                <c:pt idx="7">
                  <c:v>Transmission, fibre, 1000 Mo</c:v>
                </c:pt>
                <c:pt idx="8">
                  <c:v>Ecoute, musique, streaming, smartphone, 1 h</c:v>
                </c:pt>
                <c:pt idx="9">
                  <c:v>Ordinateur, usage bureautique, 1 h</c:v>
                </c:pt>
                <c:pt idx="10">
                  <c:v>Video, streaming, smartphone, LD, 1 h</c:v>
                </c:pt>
                <c:pt idx="11">
                  <c:v>Ecoute, radio, live, laptop, 1 h</c:v>
                </c:pt>
                <c:pt idx="12">
                  <c:v>Lecture, journal local, ordinateur, PDF téléchargé</c:v>
                </c:pt>
                <c:pt idx="13">
                  <c:v>Ecoute, radio, replay, laptop, 1 h</c:v>
                </c:pt>
                <c:pt idx="14">
                  <c:v>Stockage, disque externe, 1000 photos, 1 an</c:v>
                </c:pt>
                <c:pt idx="15">
                  <c:v>Video, streaming, laptop, youtube, LD, 1 h</c:v>
                </c:pt>
                <c:pt idx="16">
                  <c:v>Recherche, moteur de recherche, laptop, 100 recherches, 1 h</c:v>
                </c:pt>
                <c:pt idx="17">
                  <c:v>Eau bouillie, bouilloire, 1 L</c:v>
                </c:pt>
                <c:pt idx="18">
                  <c:v>Video, live, smartphone, téléjournal, SD, 1 h</c:v>
                </c:pt>
                <c:pt idx="19">
                  <c:v>Lecture, journal local, ordinateur, lecture en ligne</c:v>
                </c:pt>
                <c:pt idx="20">
                  <c:v>Transmission, données mobiles, 1000 Mo</c:v>
                </c:pt>
                <c:pt idx="21">
                  <c:v>Discussion, par tele-conference, partage d'écran, SANS vidéo, 2 personnes, 1 h</c:v>
                </c:pt>
                <c:pt idx="22">
                  <c:v>Video, streaming, laptop, fournisseur de films, SD, 1 h</c:v>
                </c:pt>
                <c:pt idx="23">
                  <c:v>Discussion, par tele-conference, partage d'écran, AVEC vidéo, 2 personnes, 1 h</c:v>
                </c:pt>
                <c:pt idx="24">
                  <c:v>Video, streaming, ecran TV, fournisseur de films, SD, 1 h</c:v>
                </c:pt>
                <c:pt idx="25">
                  <c:v>Video, live, laptop, téléjournal, HD, 1 h</c:v>
                </c:pt>
                <c:pt idx="26">
                  <c:v>Video, streaming (replay), laptop, téléjournal, HD, 1 h</c:v>
                </c:pt>
                <c:pt idx="27">
                  <c:v>Lecture, journal local, papier</c:v>
                </c:pt>
                <c:pt idx="28">
                  <c:v>Video, streaming, laptop, fournisseur de films, HD, 1 h</c:v>
                </c:pt>
                <c:pt idx="29">
                  <c:v>Video, streaming, ecran TV, fournisseur de films, HD, 1 h</c:v>
                </c:pt>
                <c:pt idx="30">
                  <c:v>Lecture, roman e-book, 300 pages</c:v>
                </c:pt>
                <c:pt idx="31">
                  <c:v>Trajet voiture, 1 km</c:v>
                </c:pt>
                <c:pt idx="32">
                  <c:v>Café, unité</c:v>
                </c:pt>
                <c:pt idx="33">
                  <c:v>Lecture, roman papier, achat en librairie, 300 pages</c:v>
                </c:pt>
                <c:pt idx="34">
                  <c:v>Carottes suisses, cuites, 250 g</c:v>
                </c:pt>
                <c:pt idx="35">
                  <c:v>Lecture, roman papier, achat en ligne, 300 pages</c:v>
                </c:pt>
                <c:pt idx="36">
                  <c:v>Stockage, cloud, 1000 photos, 1 an</c:v>
                </c:pt>
                <c:pt idx="37">
                  <c:v>Stockage, cloud, 1000 emails, 5 ans</c:v>
                </c:pt>
                <c:pt idx="38">
                  <c:v>Envoi email, 1000 emails, sans logo</c:v>
                </c:pt>
                <c:pt idx="39">
                  <c:v>Envoi email, 1000 emails, avec logo</c:v>
                </c:pt>
                <c:pt idx="40">
                  <c:v>Chaussures, commande en ligne, une paire</c:v>
                </c:pt>
                <c:pt idx="41">
                  <c:v>Chaussures, achat en magasin, une paire</c:v>
                </c:pt>
                <c:pt idx="42">
                  <c:v>Entrecôte de boeuf suisse, 250 g</c:v>
                </c:pt>
                <c:pt idx="43">
                  <c:v>Chaussures, commande en ligne, trois paires, deux renvoyées et détruites</c:v>
                </c:pt>
                <c:pt idx="44">
                  <c:v>Trajet avion, Lausanne-Berlin, classe eco, aller-retour, un passager</c:v>
                </c:pt>
                <c:pt idx="45">
                  <c:v>Trajet voiture, Lausanne-Berlin, aller-retour</c:v>
                </c:pt>
                <c:pt idx="46">
                  <c:v>Trajet avion, Genève-New York, classe eco, aller-retour, un passager</c:v>
                </c:pt>
              </c:strCache>
            </c:strRef>
          </c:cat>
          <c:val>
            <c:numRef>
              <c:f>'Actions robustes - V. PUBLIABLE'!$F$3:$F$49</c:f>
              <c:numCache>
                <c:formatCode>0.000</c:formatCode>
                <c:ptCount val="47"/>
                <c:pt idx="0">
                  <c:v>1.2074647999999999E-3</c:v>
                </c:pt>
                <c:pt idx="1">
                  <c:v>3.19302E-3</c:v>
                </c:pt>
                <c:pt idx="2">
                  <c:v>5.3150000000000003E-3</c:v>
                </c:pt>
                <c:pt idx="3">
                  <c:v>9.9516740000000006E-3</c:v>
                </c:pt>
                <c:pt idx="4">
                  <c:v>8.6937461999999997E-3</c:v>
                </c:pt>
                <c:pt idx="5">
                  <c:v>8.1682391000000003E-3</c:v>
                </c:pt>
                <c:pt idx="6">
                  <c:v>6.8896838E-3</c:v>
                </c:pt>
                <c:pt idx="7">
                  <c:v>2.3422274999999999E-2</c:v>
                </c:pt>
                <c:pt idx="8">
                  <c:v>2.2048029E-2</c:v>
                </c:pt>
                <c:pt idx="9">
                  <c:v>1.5912835E-2</c:v>
                </c:pt>
                <c:pt idx="10">
                  <c:v>3.0845792E-2</c:v>
                </c:pt>
                <c:pt idx="11">
                  <c:v>3.1121656000000001E-2</c:v>
                </c:pt>
                <c:pt idx="12">
                  <c:v>3.5199714999999999E-2</c:v>
                </c:pt>
                <c:pt idx="13">
                  <c:v>3.9125422999999999E-2</c:v>
                </c:pt>
                <c:pt idx="14">
                  <c:v>3.7867954000000002E-2</c:v>
                </c:pt>
                <c:pt idx="15">
                  <c:v>4.5695101000000002E-2</c:v>
                </c:pt>
                <c:pt idx="16">
                  <c:v>4.7456012999999998E-2</c:v>
                </c:pt>
                <c:pt idx="17">
                  <c:v>6.4807813000000006E-2</c:v>
                </c:pt>
                <c:pt idx="18">
                  <c:v>7.0093205000000006E-2</c:v>
                </c:pt>
                <c:pt idx="19">
                  <c:v>5.5192583000000003E-2</c:v>
                </c:pt>
                <c:pt idx="20">
                  <c:v>8.7977629000000002E-2</c:v>
                </c:pt>
                <c:pt idx="21">
                  <c:v>5.8967672999999998E-2</c:v>
                </c:pt>
                <c:pt idx="22">
                  <c:v>7.4256890000000006E-2</c:v>
                </c:pt>
                <c:pt idx="23">
                  <c:v>8.2431844000000004E-2</c:v>
                </c:pt>
                <c:pt idx="24">
                  <c:v>0.11344694</c:v>
                </c:pt>
                <c:pt idx="25">
                  <c:v>9.4660153999999996E-2</c:v>
                </c:pt>
                <c:pt idx="26">
                  <c:v>0.10281868</c:v>
                </c:pt>
                <c:pt idx="27">
                  <c:v>0.10280913999999999</c:v>
                </c:pt>
                <c:pt idx="28">
                  <c:v>0.20564112000000001</c:v>
                </c:pt>
                <c:pt idx="29">
                  <c:v>0.24483116999999999</c:v>
                </c:pt>
                <c:pt idx="30">
                  <c:v>0.15890000000000001</c:v>
                </c:pt>
                <c:pt idx="31">
                  <c:v>0.32056327000000001</c:v>
                </c:pt>
                <c:pt idx="32">
                  <c:v>0.12650078000000001</c:v>
                </c:pt>
                <c:pt idx="33">
                  <c:v>0.51648035999999997</c:v>
                </c:pt>
                <c:pt idx="34">
                  <c:v>0.25401742999999999</c:v>
                </c:pt>
                <c:pt idx="35">
                  <c:v>2.8064467</c:v>
                </c:pt>
                <c:pt idx="36">
                  <c:v>2.109</c:v>
                </c:pt>
                <c:pt idx="37">
                  <c:v>2.75</c:v>
                </c:pt>
                <c:pt idx="38">
                  <c:v>5.6204077000000003</c:v>
                </c:pt>
                <c:pt idx="39">
                  <c:v>5.6809501999999998</c:v>
                </c:pt>
                <c:pt idx="40">
                  <c:v>10.735939</c:v>
                </c:pt>
                <c:pt idx="41">
                  <c:v>11.481553</c:v>
                </c:pt>
                <c:pt idx="42">
                  <c:v>14.265369</c:v>
                </c:pt>
                <c:pt idx="43">
                  <c:v>32.207816999999999</c:v>
                </c:pt>
                <c:pt idx="44">
                  <c:v>775.54660000000001</c:v>
                </c:pt>
                <c:pt idx="45">
                  <c:v>679.59412999999995</c:v>
                </c:pt>
                <c:pt idx="46">
                  <c:v>4285.6630999999998</c:v>
                </c:pt>
              </c:numCache>
            </c:numRef>
          </c:val>
          <c:smooth val="0"/>
          <c:extLst>
            <c:ext xmlns:c16="http://schemas.microsoft.com/office/drawing/2014/chart" uri="{C3380CC4-5D6E-409C-BE32-E72D297353CC}">
              <c16:uniqueId val="{00000003-F662-41F2-BCC8-B533069213A0}"/>
            </c:ext>
          </c:extLst>
        </c:ser>
        <c:ser>
          <c:idx val="1"/>
          <c:order val="1"/>
          <c:spPr>
            <a:ln w="25400" cap="rnd">
              <a:noFill/>
              <a:round/>
            </a:ln>
            <a:effectLst/>
          </c:spPr>
          <c:marker>
            <c:symbol val="dash"/>
            <c:size val="5"/>
            <c:spPr>
              <a:solidFill>
                <a:srgbClr val="002060"/>
              </a:solidFill>
              <a:ln>
                <a:noFill/>
              </a:ln>
              <a:effectLst/>
            </c:spPr>
          </c:marker>
          <c:cat>
            <c:strRef>
              <c:f>'Actions robustes - V. PUBLIABLE'!$B$3:$B$49</c:f>
              <c:strCache>
                <c:ptCount val="47"/>
                <c:pt idx="0">
                  <c:v>Transmission, wifi, 1000 Mo</c:v>
                </c:pt>
                <c:pt idx="1">
                  <c:v>Paiement, e-banking, 1 paiement</c:v>
                </c:pt>
                <c:pt idx="2">
                  <c:v>Lecture, newsletter mail, 300 ko, 10 min</c:v>
                </c:pt>
                <c:pt idx="3">
                  <c:v>Ecoute, radio, live, FM, 1 h</c:v>
                </c:pt>
                <c:pt idx="4">
                  <c:v>Transmission, wifi, 1 h</c:v>
                </c:pt>
                <c:pt idx="5">
                  <c:v>Envoi email, 1 email, pièce jointe 1 Mo</c:v>
                </c:pt>
                <c:pt idx="6">
                  <c:v>Impression, noir et blanc, recto, 1 feuille A4</c:v>
                </c:pt>
                <c:pt idx="7">
                  <c:v>Transmission, fibre, 1000 Mo</c:v>
                </c:pt>
                <c:pt idx="8">
                  <c:v>Ecoute, musique, streaming, smartphone, 1 h</c:v>
                </c:pt>
                <c:pt idx="9">
                  <c:v>Ordinateur, usage bureautique, 1 h</c:v>
                </c:pt>
                <c:pt idx="10">
                  <c:v>Video, streaming, smartphone, LD, 1 h</c:v>
                </c:pt>
                <c:pt idx="11">
                  <c:v>Ecoute, radio, live, laptop, 1 h</c:v>
                </c:pt>
                <c:pt idx="12">
                  <c:v>Lecture, journal local, ordinateur, PDF téléchargé</c:v>
                </c:pt>
                <c:pt idx="13">
                  <c:v>Ecoute, radio, replay, laptop, 1 h</c:v>
                </c:pt>
                <c:pt idx="14">
                  <c:v>Stockage, disque externe, 1000 photos, 1 an</c:v>
                </c:pt>
                <c:pt idx="15">
                  <c:v>Video, streaming, laptop, youtube, LD, 1 h</c:v>
                </c:pt>
                <c:pt idx="16">
                  <c:v>Recherche, moteur de recherche, laptop, 100 recherches, 1 h</c:v>
                </c:pt>
                <c:pt idx="17">
                  <c:v>Eau bouillie, bouilloire, 1 L</c:v>
                </c:pt>
                <c:pt idx="18">
                  <c:v>Video, live, smartphone, téléjournal, SD, 1 h</c:v>
                </c:pt>
                <c:pt idx="19">
                  <c:v>Lecture, journal local, ordinateur, lecture en ligne</c:v>
                </c:pt>
                <c:pt idx="20">
                  <c:v>Transmission, données mobiles, 1000 Mo</c:v>
                </c:pt>
                <c:pt idx="21">
                  <c:v>Discussion, par tele-conference, partage d'écran, SANS vidéo, 2 personnes, 1 h</c:v>
                </c:pt>
                <c:pt idx="22">
                  <c:v>Video, streaming, laptop, fournisseur de films, SD, 1 h</c:v>
                </c:pt>
                <c:pt idx="23">
                  <c:v>Discussion, par tele-conference, partage d'écran, AVEC vidéo, 2 personnes, 1 h</c:v>
                </c:pt>
                <c:pt idx="24">
                  <c:v>Video, streaming, ecran TV, fournisseur de films, SD, 1 h</c:v>
                </c:pt>
                <c:pt idx="25">
                  <c:v>Video, live, laptop, téléjournal, HD, 1 h</c:v>
                </c:pt>
                <c:pt idx="26">
                  <c:v>Video, streaming (replay), laptop, téléjournal, HD, 1 h</c:v>
                </c:pt>
                <c:pt idx="27">
                  <c:v>Lecture, journal local, papier</c:v>
                </c:pt>
                <c:pt idx="28">
                  <c:v>Video, streaming, laptop, fournisseur de films, HD, 1 h</c:v>
                </c:pt>
                <c:pt idx="29">
                  <c:v>Video, streaming, ecran TV, fournisseur de films, HD, 1 h</c:v>
                </c:pt>
                <c:pt idx="30">
                  <c:v>Lecture, roman e-book, 300 pages</c:v>
                </c:pt>
                <c:pt idx="31">
                  <c:v>Trajet voiture, 1 km</c:v>
                </c:pt>
                <c:pt idx="32">
                  <c:v>Café, unité</c:v>
                </c:pt>
                <c:pt idx="33">
                  <c:v>Lecture, roman papier, achat en librairie, 300 pages</c:v>
                </c:pt>
                <c:pt idx="34">
                  <c:v>Carottes suisses, cuites, 250 g</c:v>
                </c:pt>
                <c:pt idx="35">
                  <c:v>Lecture, roman papier, achat en ligne, 300 pages</c:v>
                </c:pt>
                <c:pt idx="36">
                  <c:v>Stockage, cloud, 1000 photos, 1 an</c:v>
                </c:pt>
                <c:pt idx="37">
                  <c:v>Stockage, cloud, 1000 emails, 5 ans</c:v>
                </c:pt>
                <c:pt idx="38">
                  <c:v>Envoi email, 1000 emails, sans logo</c:v>
                </c:pt>
                <c:pt idx="39">
                  <c:v>Envoi email, 1000 emails, avec logo</c:v>
                </c:pt>
                <c:pt idx="40">
                  <c:v>Chaussures, commande en ligne, une paire</c:v>
                </c:pt>
                <c:pt idx="41">
                  <c:v>Chaussures, achat en magasin, une paire</c:v>
                </c:pt>
                <c:pt idx="42">
                  <c:v>Entrecôte de boeuf suisse, 250 g</c:v>
                </c:pt>
                <c:pt idx="43">
                  <c:v>Chaussures, commande en ligne, trois paires, deux renvoyées et détruites</c:v>
                </c:pt>
                <c:pt idx="44">
                  <c:v>Trajet avion, Lausanne-Berlin, classe eco, aller-retour, un passager</c:v>
                </c:pt>
                <c:pt idx="45">
                  <c:v>Trajet voiture, Lausanne-Berlin, aller-retour</c:v>
                </c:pt>
                <c:pt idx="46">
                  <c:v>Trajet avion, Genève-New York, classe eco, aller-retour, un passager</c:v>
                </c:pt>
              </c:strCache>
            </c:strRef>
          </c:cat>
          <c:val>
            <c:numRef>
              <c:f>'Actions robustes - V. PUBLIABLE'!$H$3:$H$49</c:f>
              <c:numCache>
                <c:formatCode>0.000</c:formatCode>
                <c:ptCount val="47"/>
                <c:pt idx="0">
                  <c:v>8.4522535999999998E-4</c:v>
                </c:pt>
                <c:pt idx="1">
                  <c:v>1.59651E-3</c:v>
                </c:pt>
                <c:pt idx="2">
                  <c:v>2.6575000000000001E-3</c:v>
                </c:pt>
                <c:pt idx="3">
                  <c:v>4.9758370000000003E-3</c:v>
                </c:pt>
                <c:pt idx="4">
                  <c:v>7.8243715799999995E-3</c:v>
                </c:pt>
                <c:pt idx="5">
                  <c:v>4.0841195500000002E-3</c:v>
                </c:pt>
                <c:pt idx="6">
                  <c:v>4.8227786600000006E-3</c:v>
                </c:pt>
                <c:pt idx="7">
                  <c:v>1.17111375E-2</c:v>
                </c:pt>
                <c:pt idx="8">
                  <c:v>1.10240145E-2</c:v>
                </c:pt>
                <c:pt idx="9">
                  <c:v>1.1138984500000001E-2</c:v>
                </c:pt>
                <c:pt idx="10">
                  <c:v>1.5422896E-2</c:v>
                </c:pt>
                <c:pt idx="11">
                  <c:v>1.5560828000000001E-2</c:v>
                </c:pt>
                <c:pt idx="12">
                  <c:v>1.75998575E-2</c:v>
                </c:pt>
                <c:pt idx="13">
                  <c:v>1.95627115E-2</c:v>
                </c:pt>
                <c:pt idx="14">
                  <c:v>1.8933977000000001E-2</c:v>
                </c:pt>
                <c:pt idx="15">
                  <c:v>2.2847550500000001E-2</c:v>
                </c:pt>
                <c:pt idx="16">
                  <c:v>2.3728006499999999E-2</c:v>
                </c:pt>
                <c:pt idx="17">
                  <c:v>5.1846250400000002E-2</c:v>
                </c:pt>
                <c:pt idx="18">
                  <c:v>3.5046602500000003E-2</c:v>
                </c:pt>
                <c:pt idx="19">
                  <c:v>3.3115549800000005E-2</c:v>
                </c:pt>
                <c:pt idx="20">
                  <c:v>4.3988814500000001E-2</c:v>
                </c:pt>
                <c:pt idx="21">
                  <c:v>4.1277371100000002E-2</c:v>
                </c:pt>
                <c:pt idx="22">
                  <c:v>3.7128445000000003E-2</c:v>
                </c:pt>
                <c:pt idx="23">
                  <c:v>4.9459106400000001E-2</c:v>
                </c:pt>
                <c:pt idx="24">
                  <c:v>5.6723469999999998E-2</c:v>
                </c:pt>
                <c:pt idx="25">
                  <c:v>4.7330076999999998E-2</c:v>
                </c:pt>
                <c:pt idx="26">
                  <c:v>5.1409339999999998E-2</c:v>
                </c:pt>
                <c:pt idx="27">
                  <c:v>7.1966398000000001E-2</c:v>
                </c:pt>
                <c:pt idx="28">
                  <c:v>0.10282056000000001</c:v>
                </c:pt>
                <c:pt idx="29">
                  <c:v>0.12241558499999999</c:v>
                </c:pt>
                <c:pt idx="30">
                  <c:v>7.9450000000000007E-2</c:v>
                </c:pt>
                <c:pt idx="31">
                  <c:v>0.22439428900000002</c:v>
                </c:pt>
                <c:pt idx="32">
                  <c:v>8.8550546000000008E-2</c:v>
                </c:pt>
                <c:pt idx="33">
                  <c:v>0.36153625199999995</c:v>
                </c:pt>
                <c:pt idx="34">
                  <c:v>0.12700871499999999</c:v>
                </c:pt>
                <c:pt idx="35">
                  <c:v>0.56128933999999997</c:v>
                </c:pt>
                <c:pt idx="36">
                  <c:v>0.52725</c:v>
                </c:pt>
                <c:pt idx="37">
                  <c:v>0.6875</c:v>
                </c:pt>
                <c:pt idx="38">
                  <c:v>2.8102038500000002</c:v>
                </c:pt>
                <c:pt idx="39">
                  <c:v>2.8404750999999999</c:v>
                </c:pt>
                <c:pt idx="40">
                  <c:v>5.3679695000000001</c:v>
                </c:pt>
                <c:pt idx="41">
                  <c:v>5.7407764999999999</c:v>
                </c:pt>
                <c:pt idx="42">
                  <c:v>7.1326844999999999</c:v>
                </c:pt>
                <c:pt idx="43">
                  <c:v>16.103908499999999</c:v>
                </c:pt>
                <c:pt idx="44">
                  <c:v>542.88262000000009</c:v>
                </c:pt>
                <c:pt idx="45">
                  <c:v>543.67530399999998</c:v>
                </c:pt>
                <c:pt idx="46">
                  <c:v>2999.9641700000002</c:v>
                </c:pt>
              </c:numCache>
            </c:numRef>
          </c:val>
          <c:smooth val="0"/>
          <c:extLst>
            <c:ext xmlns:c16="http://schemas.microsoft.com/office/drawing/2014/chart" uri="{C3380CC4-5D6E-409C-BE32-E72D297353CC}">
              <c16:uniqueId val="{00000004-F662-41F2-BCC8-B533069213A0}"/>
            </c:ext>
          </c:extLst>
        </c:ser>
        <c:ser>
          <c:idx val="2"/>
          <c:order val="2"/>
          <c:spPr>
            <a:ln w="25400" cap="rnd">
              <a:noFill/>
              <a:round/>
            </a:ln>
            <a:effectLst/>
          </c:spPr>
          <c:marker>
            <c:symbol val="dash"/>
            <c:size val="5"/>
            <c:spPr>
              <a:solidFill>
                <a:schemeClr val="tx1"/>
              </a:solidFill>
              <a:ln>
                <a:noFill/>
              </a:ln>
              <a:effectLst/>
            </c:spPr>
          </c:marker>
          <c:cat>
            <c:strRef>
              <c:f>'Actions robustes - V. PUBLIABLE'!$B$3:$B$49</c:f>
              <c:strCache>
                <c:ptCount val="47"/>
                <c:pt idx="0">
                  <c:v>Transmission, wifi, 1000 Mo</c:v>
                </c:pt>
                <c:pt idx="1">
                  <c:v>Paiement, e-banking, 1 paiement</c:v>
                </c:pt>
                <c:pt idx="2">
                  <c:v>Lecture, newsletter mail, 300 ko, 10 min</c:v>
                </c:pt>
                <c:pt idx="3">
                  <c:v>Ecoute, radio, live, FM, 1 h</c:v>
                </c:pt>
                <c:pt idx="4">
                  <c:v>Transmission, wifi, 1 h</c:v>
                </c:pt>
                <c:pt idx="5">
                  <c:v>Envoi email, 1 email, pièce jointe 1 Mo</c:v>
                </c:pt>
                <c:pt idx="6">
                  <c:v>Impression, noir et blanc, recto, 1 feuille A4</c:v>
                </c:pt>
                <c:pt idx="7">
                  <c:v>Transmission, fibre, 1000 Mo</c:v>
                </c:pt>
                <c:pt idx="8">
                  <c:v>Ecoute, musique, streaming, smartphone, 1 h</c:v>
                </c:pt>
                <c:pt idx="9">
                  <c:v>Ordinateur, usage bureautique, 1 h</c:v>
                </c:pt>
                <c:pt idx="10">
                  <c:v>Video, streaming, smartphone, LD, 1 h</c:v>
                </c:pt>
                <c:pt idx="11">
                  <c:v>Ecoute, radio, live, laptop, 1 h</c:v>
                </c:pt>
                <c:pt idx="12">
                  <c:v>Lecture, journal local, ordinateur, PDF téléchargé</c:v>
                </c:pt>
                <c:pt idx="13">
                  <c:v>Ecoute, radio, replay, laptop, 1 h</c:v>
                </c:pt>
                <c:pt idx="14">
                  <c:v>Stockage, disque externe, 1000 photos, 1 an</c:v>
                </c:pt>
                <c:pt idx="15">
                  <c:v>Video, streaming, laptop, youtube, LD, 1 h</c:v>
                </c:pt>
                <c:pt idx="16">
                  <c:v>Recherche, moteur de recherche, laptop, 100 recherches, 1 h</c:v>
                </c:pt>
                <c:pt idx="17">
                  <c:v>Eau bouillie, bouilloire, 1 L</c:v>
                </c:pt>
                <c:pt idx="18">
                  <c:v>Video, live, smartphone, téléjournal, SD, 1 h</c:v>
                </c:pt>
                <c:pt idx="19">
                  <c:v>Lecture, journal local, ordinateur, lecture en ligne</c:v>
                </c:pt>
                <c:pt idx="20">
                  <c:v>Transmission, données mobiles, 1000 Mo</c:v>
                </c:pt>
                <c:pt idx="21">
                  <c:v>Discussion, par tele-conference, partage d'écran, SANS vidéo, 2 personnes, 1 h</c:v>
                </c:pt>
                <c:pt idx="22">
                  <c:v>Video, streaming, laptop, fournisseur de films, SD, 1 h</c:v>
                </c:pt>
                <c:pt idx="23">
                  <c:v>Discussion, par tele-conference, partage d'écran, AVEC vidéo, 2 personnes, 1 h</c:v>
                </c:pt>
                <c:pt idx="24">
                  <c:v>Video, streaming, ecran TV, fournisseur de films, SD, 1 h</c:v>
                </c:pt>
                <c:pt idx="25">
                  <c:v>Video, live, laptop, téléjournal, HD, 1 h</c:v>
                </c:pt>
                <c:pt idx="26">
                  <c:v>Video, streaming (replay), laptop, téléjournal, HD, 1 h</c:v>
                </c:pt>
                <c:pt idx="27">
                  <c:v>Lecture, journal local, papier</c:v>
                </c:pt>
                <c:pt idx="28">
                  <c:v>Video, streaming, laptop, fournisseur de films, HD, 1 h</c:v>
                </c:pt>
                <c:pt idx="29">
                  <c:v>Video, streaming, ecran TV, fournisseur de films, HD, 1 h</c:v>
                </c:pt>
                <c:pt idx="30">
                  <c:v>Lecture, roman e-book, 300 pages</c:v>
                </c:pt>
                <c:pt idx="31">
                  <c:v>Trajet voiture, 1 km</c:v>
                </c:pt>
                <c:pt idx="32">
                  <c:v>Café, unité</c:v>
                </c:pt>
                <c:pt idx="33">
                  <c:v>Lecture, roman papier, achat en librairie, 300 pages</c:v>
                </c:pt>
                <c:pt idx="34">
                  <c:v>Carottes suisses, cuites, 250 g</c:v>
                </c:pt>
                <c:pt idx="35">
                  <c:v>Lecture, roman papier, achat en ligne, 300 pages</c:v>
                </c:pt>
                <c:pt idx="36">
                  <c:v>Stockage, cloud, 1000 photos, 1 an</c:v>
                </c:pt>
                <c:pt idx="37">
                  <c:v>Stockage, cloud, 1000 emails, 5 ans</c:v>
                </c:pt>
                <c:pt idx="38">
                  <c:v>Envoi email, 1000 emails, sans logo</c:v>
                </c:pt>
                <c:pt idx="39">
                  <c:v>Envoi email, 1000 emails, avec logo</c:v>
                </c:pt>
                <c:pt idx="40">
                  <c:v>Chaussures, commande en ligne, une paire</c:v>
                </c:pt>
                <c:pt idx="41">
                  <c:v>Chaussures, achat en magasin, une paire</c:v>
                </c:pt>
                <c:pt idx="42">
                  <c:v>Entrecôte de boeuf suisse, 250 g</c:v>
                </c:pt>
                <c:pt idx="43">
                  <c:v>Chaussures, commande en ligne, trois paires, deux renvoyées et détruites</c:v>
                </c:pt>
                <c:pt idx="44">
                  <c:v>Trajet avion, Lausanne-Berlin, classe eco, aller-retour, un passager</c:v>
                </c:pt>
                <c:pt idx="45">
                  <c:v>Trajet voiture, Lausanne-Berlin, aller-retour</c:v>
                </c:pt>
                <c:pt idx="46">
                  <c:v>Trajet avion, Genève-New York, classe eco, aller-retour, un passager</c:v>
                </c:pt>
              </c:strCache>
            </c:strRef>
          </c:cat>
          <c:val>
            <c:numRef>
              <c:f>'Actions robustes - V. PUBLIABLE'!$I$3:$I$49</c:f>
              <c:numCache>
                <c:formatCode>0.000</c:formatCode>
                <c:ptCount val="47"/>
                <c:pt idx="0">
                  <c:v>1.5697042399999998E-3</c:v>
                </c:pt>
                <c:pt idx="1">
                  <c:v>4.7895300000000002E-3</c:v>
                </c:pt>
                <c:pt idx="2">
                  <c:v>7.9725000000000004E-3</c:v>
                </c:pt>
                <c:pt idx="3">
                  <c:v>1.9903348000000001E-2</c:v>
                </c:pt>
                <c:pt idx="4">
                  <c:v>9.5631208199999998E-3</c:v>
                </c:pt>
                <c:pt idx="5">
                  <c:v>1.6336478200000001E-2</c:v>
                </c:pt>
                <c:pt idx="6">
                  <c:v>8.9565889399999994E-3</c:v>
                </c:pt>
                <c:pt idx="7">
                  <c:v>4.6844549999999999E-2</c:v>
                </c:pt>
                <c:pt idx="8">
                  <c:v>3.3072043500000002E-2</c:v>
                </c:pt>
                <c:pt idx="9">
                  <c:v>2.06866855E-2</c:v>
                </c:pt>
                <c:pt idx="10">
                  <c:v>6.1691584000000001E-2</c:v>
                </c:pt>
                <c:pt idx="11">
                  <c:v>4.6682484000000003E-2</c:v>
                </c:pt>
                <c:pt idx="12">
                  <c:v>5.2799572500000003E-2</c:v>
                </c:pt>
                <c:pt idx="13">
                  <c:v>5.8688134500000003E-2</c:v>
                </c:pt>
                <c:pt idx="14">
                  <c:v>5.6801931E-2</c:v>
                </c:pt>
                <c:pt idx="15">
                  <c:v>9.1390202000000004E-2</c:v>
                </c:pt>
                <c:pt idx="16">
                  <c:v>7.1184019500000001E-2</c:v>
                </c:pt>
                <c:pt idx="17">
                  <c:v>7.776937560000001E-2</c:v>
                </c:pt>
                <c:pt idx="18">
                  <c:v>0.14018641000000001</c:v>
                </c:pt>
                <c:pt idx="19">
                  <c:v>7.7269616200000002E-2</c:v>
                </c:pt>
                <c:pt idx="20">
                  <c:v>0.175955258</c:v>
                </c:pt>
                <c:pt idx="21">
                  <c:v>7.6657974899999995E-2</c:v>
                </c:pt>
                <c:pt idx="22">
                  <c:v>0.14851378000000001</c:v>
                </c:pt>
                <c:pt idx="23">
                  <c:v>0.1154045816</c:v>
                </c:pt>
                <c:pt idx="24">
                  <c:v>0.17017040999999999</c:v>
                </c:pt>
                <c:pt idx="25">
                  <c:v>0.14199023099999999</c:v>
                </c:pt>
                <c:pt idx="26">
                  <c:v>0.15422801999999999</c:v>
                </c:pt>
                <c:pt idx="27">
                  <c:v>0.133651882</c:v>
                </c:pt>
                <c:pt idx="28">
                  <c:v>0.41128224000000002</c:v>
                </c:pt>
                <c:pt idx="29">
                  <c:v>0.36724675499999998</c:v>
                </c:pt>
                <c:pt idx="30">
                  <c:v>0.31780000000000003</c:v>
                </c:pt>
                <c:pt idx="31">
                  <c:v>0.416732251</c:v>
                </c:pt>
                <c:pt idx="32">
                  <c:v>0.16445101400000001</c:v>
                </c:pt>
                <c:pt idx="33">
                  <c:v>0.671424468</c:v>
                </c:pt>
                <c:pt idx="34">
                  <c:v>0.50803485999999998</c:v>
                </c:pt>
                <c:pt idx="35">
                  <c:v>14.0322335</c:v>
                </c:pt>
                <c:pt idx="36">
                  <c:v>8.4359999999999999</c:v>
                </c:pt>
                <c:pt idx="37">
                  <c:v>11</c:v>
                </c:pt>
                <c:pt idx="38">
                  <c:v>11.240815400000001</c:v>
                </c:pt>
                <c:pt idx="39">
                  <c:v>11.3619004</c:v>
                </c:pt>
                <c:pt idx="40">
                  <c:v>16.103908499999999</c:v>
                </c:pt>
                <c:pt idx="41">
                  <c:v>17.222329500000001</c:v>
                </c:pt>
                <c:pt idx="42">
                  <c:v>28.530737999999999</c:v>
                </c:pt>
                <c:pt idx="43">
                  <c:v>48.311725499999994</c:v>
                </c:pt>
                <c:pt idx="44">
                  <c:v>1008.2105799999999</c:v>
                </c:pt>
                <c:pt idx="45">
                  <c:v>815.51295599999992</c:v>
                </c:pt>
                <c:pt idx="46">
                  <c:v>5571.3620299999993</c:v>
                </c:pt>
              </c:numCache>
            </c:numRef>
          </c:val>
          <c:smooth val="0"/>
          <c:extLst>
            <c:ext xmlns:c16="http://schemas.microsoft.com/office/drawing/2014/chart" uri="{C3380CC4-5D6E-409C-BE32-E72D297353CC}">
              <c16:uniqueId val="{00000005-F662-41F2-BCC8-B533069213A0}"/>
            </c:ext>
          </c:extLst>
        </c:ser>
        <c:dLbls>
          <c:showLegendKey val="0"/>
          <c:showVal val="0"/>
          <c:showCatName val="0"/>
          <c:showSerName val="0"/>
          <c:showPercent val="0"/>
          <c:showBubbleSize val="0"/>
        </c:dLbls>
        <c:hiLowLines>
          <c:spPr>
            <a:ln w="25400" cap="flat" cmpd="sng" algn="ctr">
              <a:solidFill>
                <a:schemeClr val="tx1">
                  <a:lumMod val="65000"/>
                  <a:lumOff val="35000"/>
                </a:schemeClr>
              </a:solidFill>
              <a:round/>
            </a:ln>
            <a:effectLst/>
          </c:spPr>
        </c:hiLowLines>
        <c:axId val="638097768"/>
        <c:axId val="638095800"/>
      </c:stockChart>
      <c:catAx>
        <c:axId val="638097768"/>
        <c:scaling>
          <c:orientation val="minMax"/>
        </c:scaling>
        <c:delete val="0"/>
        <c:axPos val="b"/>
        <c:numFmt formatCode="General" sourceLinked="1"/>
        <c:majorTickMark val="none"/>
        <c:minorTickMark val="none"/>
        <c:tickLblPos val="low"/>
        <c:spPr>
          <a:noFill/>
          <a:ln w="9525" cap="flat" cmpd="sng" algn="ctr">
            <a:solidFill>
              <a:schemeClr val="tx1">
                <a:lumMod val="35000"/>
                <a:lumOff val="6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de-DE"/>
          </a:p>
        </c:txPr>
        <c:crossAx val="638095800"/>
        <c:crossesAt val="0.1"/>
        <c:auto val="1"/>
        <c:lblAlgn val="ctr"/>
        <c:lblOffset val="100"/>
        <c:noMultiLvlLbl val="0"/>
      </c:catAx>
      <c:valAx>
        <c:axId val="638095800"/>
        <c:scaling>
          <c:orientation val="minMax"/>
          <c:max val="1.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solidFill>
              <a:schemeClr val="accent1">
                <a:alpha val="99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de-DE"/>
          </a:p>
        </c:txPr>
        <c:crossAx val="638097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none" spc="0" normalizeH="0" baseline="0">
                <a:solidFill>
                  <a:schemeClr val="tx1">
                    <a:lumMod val="65000"/>
                    <a:lumOff val="35000"/>
                  </a:schemeClr>
                </a:solidFill>
                <a:latin typeface="+mj-lt"/>
                <a:ea typeface="+mj-ea"/>
                <a:cs typeface="+mj-cs"/>
              </a:defRPr>
            </a:pPr>
            <a:r>
              <a:rPr lang="de-CH" b="1"/>
              <a:t>Ecoscore [UCE]</a:t>
            </a:r>
          </a:p>
        </c:rich>
      </c:tx>
      <c:layout/>
      <c:overlay val="0"/>
      <c:spPr>
        <a:noFill/>
        <a:ln>
          <a:noFill/>
        </a:ln>
        <a:effectLst/>
      </c:spPr>
      <c:txPr>
        <a:bodyPr rot="0" spcFirstLastPara="1" vertOverflow="ellipsis" vert="horz" wrap="square" anchor="ctr" anchorCtr="1"/>
        <a:lstStyle/>
        <a:p>
          <a:pPr>
            <a:defRPr sz="2000" b="1" i="0" u="none" strike="noStrike" kern="1200" cap="none" spc="0" normalizeH="0" baseline="0">
              <a:solidFill>
                <a:schemeClr val="tx1">
                  <a:lumMod val="65000"/>
                  <a:lumOff val="35000"/>
                </a:schemeClr>
              </a:solidFill>
              <a:latin typeface="+mj-lt"/>
              <a:ea typeface="+mj-ea"/>
              <a:cs typeface="+mj-cs"/>
            </a:defRPr>
          </a:pPr>
          <a:endParaRPr lang="de-DE"/>
        </a:p>
      </c:txPr>
    </c:title>
    <c:autoTitleDeleted val="0"/>
    <c:plotArea>
      <c:layout>
        <c:manualLayout>
          <c:layoutTarget val="inner"/>
          <c:xMode val="edge"/>
          <c:yMode val="edge"/>
          <c:x val="3.3429246191469378E-2"/>
          <c:y val="7.3606571584212355E-2"/>
          <c:w val="0.96136063886078915"/>
          <c:h val="0.61871019660278315"/>
        </c:manualLayout>
      </c:layout>
      <c:stockChart>
        <c:ser>
          <c:idx val="0"/>
          <c:order val="0"/>
          <c:spPr>
            <a:ln w="25400" cap="rnd">
              <a:noFill/>
              <a:round/>
            </a:ln>
            <a:effectLst/>
          </c:spPr>
          <c:marker>
            <c:symbol val="circle"/>
            <c:size val="8"/>
            <c:spPr>
              <a:solidFill>
                <a:srgbClr val="00B050"/>
              </a:solidFill>
              <a:ln>
                <a:noFill/>
              </a:ln>
              <a:effectLst/>
            </c:spPr>
          </c:marker>
          <c:cat>
            <c:strRef>
              <c:f>'Actions non comparables - V. PU'!$B$3:$B$19</c:f>
              <c:strCache>
                <c:ptCount val="17"/>
                <c:pt idx="0">
                  <c:v>Message texte, en ligne, 1 message</c:v>
                </c:pt>
                <c:pt idx="1">
                  <c:v>Appel, telephone portable, 1 h</c:v>
                </c:pt>
                <c:pt idx="2">
                  <c:v>Appel, telephone fixe, 1 h</c:v>
                </c:pt>
                <c:pt idx="3">
                  <c:v>Appel, telephone portable, whatsapp, 1 h</c:v>
                </c:pt>
                <c:pt idx="4">
                  <c:v>Message vocal, en ligne, whatsapp, 1 h</c:v>
                </c:pt>
                <c:pt idx="5">
                  <c:v>Ecoute, musique, CD, 1 h</c:v>
                </c:pt>
                <c:pt idx="6">
                  <c:v>Transmission, 5G, 1000 Mo</c:v>
                </c:pt>
                <c:pt idx="7">
                  <c:v>Jeu vidéo, acheté en magasin, offline, 1 h</c:v>
                </c:pt>
                <c:pt idx="8">
                  <c:v>Jeu vidéo, téléchargé, offline, 1 h</c:v>
                </c:pt>
                <c:pt idx="9">
                  <c:v>Jeu vidéo, réalité virtuelle, 1 h</c:v>
                </c:pt>
                <c:pt idx="10">
                  <c:v>Transmission, ADSL, 1000 Mo</c:v>
                </c:pt>
                <c:pt idx="11">
                  <c:v>Lecture, journal international, ordinateur, lecture en ligne</c:v>
                </c:pt>
                <c:pt idx="12">
                  <c:v>Video, live, réseau TV, 1 h</c:v>
                </c:pt>
                <c:pt idx="13">
                  <c:v>Jeu vidéo, téléchargé, en ligne, 1 h</c:v>
                </c:pt>
                <c:pt idx="14">
                  <c:v>Jeu vidéo, streaming, twitch, 1 h</c:v>
                </c:pt>
                <c:pt idx="15">
                  <c:v>Transmission, 4G, 1000 Mo</c:v>
                </c:pt>
                <c:pt idx="16">
                  <c:v>Lecture, journal international, papier</c:v>
                </c:pt>
              </c:strCache>
            </c:strRef>
          </c:cat>
          <c:val>
            <c:numRef>
              <c:f>'Actions non comparables - V. PU'!$G$3:$G$19</c:f>
              <c:numCache>
                <c:formatCode>0</c:formatCode>
                <c:ptCount val="17"/>
                <c:pt idx="0" formatCode="0.0">
                  <c:v>0.33099667958134404</c:v>
                </c:pt>
                <c:pt idx="1">
                  <c:v>11.977133861136949</c:v>
                </c:pt>
                <c:pt idx="2">
                  <c:v>13.465215331960669</c:v>
                </c:pt>
                <c:pt idx="3">
                  <c:v>13.93633574224204</c:v>
                </c:pt>
                <c:pt idx="4">
                  <c:v>15.2718451462299</c:v>
                </c:pt>
                <c:pt idx="5">
                  <c:v>17.312235200913868</c:v>
                </c:pt>
                <c:pt idx="6">
                  <c:v>29.744354649810532</c:v>
                </c:pt>
                <c:pt idx="7">
                  <c:v>35.005687060780502</c:v>
                </c:pt>
                <c:pt idx="8">
                  <c:v>42.501973704446463</c:v>
                </c:pt>
                <c:pt idx="9">
                  <c:v>51.137872897834605</c:v>
                </c:pt>
                <c:pt idx="10">
                  <c:v>63.609473438008408</c:v>
                </c:pt>
                <c:pt idx="11">
                  <c:v>74.138500861070739</c:v>
                </c:pt>
                <c:pt idx="12">
                  <c:v>125.3715286226643</c:v>
                </c:pt>
                <c:pt idx="13">
                  <c:v>178.6164082908914</c:v>
                </c:pt>
                <c:pt idx="14">
                  <c:v>279.27793217704232</c:v>
                </c:pt>
                <c:pt idx="15">
                  <c:v>292.97211279539545</c:v>
                </c:pt>
                <c:pt idx="16">
                  <c:v>937.170910924483</c:v>
                </c:pt>
              </c:numCache>
            </c:numRef>
          </c:val>
          <c:smooth val="0"/>
          <c:extLst>
            <c:ext xmlns:c16="http://schemas.microsoft.com/office/drawing/2014/chart" uri="{C3380CC4-5D6E-409C-BE32-E72D297353CC}">
              <c16:uniqueId val="{00000003-5856-4FB1-870F-A1FBEB99B8C7}"/>
            </c:ext>
          </c:extLst>
        </c:ser>
        <c:ser>
          <c:idx val="1"/>
          <c:order val="1"/>
          <c:spPr>
            <a:ln w="25400" cap="rnd">
              <a:noFill/>
              <a:round/>
            </a:ln>
            <a:effectLst/>
          </c:spPr>
          <c:marker>
            <c:symbol val="dash"/>
            <c:size val="5"/>
            <c:spPr>
              <a:solidFill>
                <a:schemeClr val="tx1"/>
              </a:solidFill>
              <a:ln>
                <a:noFill/>
              </a:ln>
              <a:effectLst/>
            </c:spPr>
          </c:marker>
          <c:cat>
            <c:strRef>
              <c:f>'Actions non comparables - V. PU'!$B$3:$B$19</c:f>
              <c:strCache>
                <c:ptCount val="17"/>
                <c:pt idx="0">
                  <c:v>Message texte, en ligne, 1 message</c:v>
                </c:pt>
                <c:pt idx="1">
                  <c:v>Appel, telephone portable, 1 h</c:v>
                </c:pt>
                <c:pt idx="2">
                  <c:v>Appel, telephone fixe, 1 h</c:v>
                </c:pt>
                <c:pt idx="3">
                  <c:v>Appel, telephone portable, whatsapp, 1 h</c:v>
                </c:pt>
                <c:pt idx="4">
                  <c:v>Message vocal, en ligne, whatsapp, 1 h</c:v>
                </c:pt>
                <c:pt idx="5">
                  <c:v>Ecoute, musique, CD, 1 h</c:v>
                </c:pt>
                <c:pt idx="6">
                  <c:v>Transmission, 5G, 1000 Mo</c:v>
                </c:pt>
                <c:pt idx="7">
                  <c:v>Jeu vidéo, acheté en magasin, offline, 1 h</c:v>
                </c:pt>
                <c:pt idx="8">
                  <c:v>Jeu vidéo, téléchargé, offline, 1 h</c:v>
                </c:pt>
                <c:pt idx="9">
                  <c:v>Jeu vidéo, réalité virtuelle, 1 h</c:v>
                </c:pt>
                <c:pt idx="10">
                  <c:v>Transmission, ADSL, 1000 Mo</c:v>
                </c:pt>
                <c:pt idx="11">
                  <c:v>Lecture, journal international, ordinateur, lecture en ligne</c:v>
                </c:pt>
                <c:pt idx="12">
                  <c:v>Video, live, réseau TV, 1 h</c:v>
                </c:pt>
                <c:pt idx="13">
                  <c:v>Jeu vidéo, téléchargé, en ligne, 1 h</c:v>
                </c:pt>
                <c:pt idx="14">
                  <c:v>Jeu vidéo, streaming, twitch, 1 h</c:v>
                </c:pt>
                <c:pt idx="15">
                  <c:v>Transmission, 4G, 1000 Mo</c:v>
                </c:pt>
                <c:pt idx="16">
                  <c:v>Lecture, journal international, papier</c:v>
                </c:pt>
              </c:strCache>
            </c:strRef>
          </c:cat>
          <c:val>
            <c:numRef>
              <c:f>'Actions non comparables - V. PU'!$J$3:$J$19</c:f>
              <c:numCache>
                <c:formatCode>0</c:formatCode>
                <c:ptCount val="17"/>
                <c:pt idx="0" formatCode="0.0">
                  <c:v>0.16549833979067202</c:v>
                </c:pt>
                <c:pt idx="1">
                  <c:v>5.9885669305684743</c:v>
                </c:pt>
                <c:pt idx="2">
                  <c:v>6.7326076659803347</c:v>
                </c:pt>
                <c:pt idx="3">
                  <c:v>6.96816787112102</c:v>
                </c:pt>
                <c:pt idx="4">
                  <c:v>7.63592257311495</c:v>
                </c:pt>
                <c:pt idx="5">
                  <c:v>8.656117600456934</c:v>
                </c:pt>
                <c:pt idx="6">
                  <c:v>7.436088662452633</c:v>
                </c:pt>
                <c:pt idx="7">
                  <c:v>17.502843530390251</c:v>
                </c:pt>
                <c:pt idx="8">
                  <c:v>21.250986852223232</c:v>
                </c:pt>
                <c:pt idx="9">
                  <c:v>25.568936448917302</c:v>
                </c:pt>
                <c:pt idx="10">
                  <c:v>15.902368359502102</c:v>
                </c:pt>
                <c:pt idx="11">
                  <c:v>44.483100516642438</c:v>
                </c:pt>
                <c:pt idx="12">
                  <c:v>62.68576431133215</c:v>
                </c:pt>
                <c:pt idx="13">
                  <c:v>89.3082041454457</c:v>
                </c:pt>
                <c:pt idx="14">
                  <c:v>93.092644059014106</c:v>
                </c:pt>
                <c:pt idx="15">
                  <c:v>73.243028198848862</c:v>
                </c:pt>
                <c:pt idx="16">
                  <c:v>93.7170910924483</c:v>
                </c:pt>
              </c:numCache>
            </c:numRef>
          </c:val>
          <c:smooth val="0"/>
          <c:extLst>
            <c:ext xmlns:c16="http://schemas.microsoft.com/office/drawing/2014/chart" uri="{C3380CC4-5D6E-409C-BE32-E72D297353CC}">
              <c16:uniqueId val="{00000004-5856-4FB1-870F-A1FBEB99B8C7}"/>
            </c:ext>
          </c:extLst>
        </c:ser>
        <c:ser>
          <c:idx val="2"/>
          <c:order val="2"/>
          <c:spPr>
            <a:ln w="25400" cap="rnd">
              <a:noFill/>
              <a:round/>
            </a:ln>
            <a:effectLst/>
          </c:spPr>
          <c:marker>
            <c:symbol val="dash"/>
            <c:size val="5"/>
            <c:spPr>
              <a:solidFill>
                <a:srgbClr val="002060"/>
              </a:solidFill>
              <a:ln>
                <a:noFill/>
              </a:ln>
              <a:effectLst/>
            </c:spPr>
          </c:marker>
          <c:cat>
            <c:strRef>
              <c:f>'Actions non comparables - V. PU'!$B$3:$B$19</c:f>
              <c:strCache>
                <c:ptCount val="17"/>
                <c:pt idx="0">
                  <c:v>Message texte, en ligne, 1 message</c:v>
                </c:pt>
                <c:pt idx="1">
                  <c:v>Appel, telephone portable, 1 h</c:v>
                </c:pt>
                <c:pt idx="2">
                  <c:v>Appel, telephone fixe, 1 h</c:v>
                </c:pt>
                <c:pt idx="3">
                  <c:v>Appel, telephone portable, whatsapp, 1 h</c:v>
                </c:pt>
                <c:pt idx="4">
                  <c:v>Message vocal, en ligne, whatsapp, 1 h</c:v>
                </c:pt>
                <c:pt idx="5">
                  <c:v>Ecoute, musique, CD, 1 h</c:v>
                </c:pt>
                <c:pt idx="6">
                  <c:v>Transmission, 5G, 1000 Mo</c:v>
                </c:pt>
                <c:pt idx="7">
                  <c:v>Jeu vidéo, acheté en magasin, offline, 1 h</c:v>
                </c:pt>
                <c:pt idx="8">
                  <c:v>Jeu vidéo, téléchargé, offline, 1 h</c:v>
                </c:pt>
                <c:pt idx="9">
                  <c:v>Jeu vidéo, réalité virtuelle, 1 h</c:v>
                </c:pt>
                <c:pt idx="10">
                  <c:v>Transmission, ADSL, 1000 Mo</c:v>
                </c:pt>
                <c:pt idx="11">
                  <c:v>Lecture, journal international, ordinateur, lecture en ligne</c:v>
                </c:pt>
                <c:pt idx="12">
                  <c:v>Video, live, réseau TV, 1 h</c:v>
                </c:pt>
                <c:pt idx="13">
                  <c:v>Jeu vidéo, téléchargé, en ligne, 1 h</c:v>
                </c:pt>
                <c:pt idx="14">
                  <c:v>Jeu vidéo, streaming, twitch, 1 h</c:v>
                </c:pt>
                <c:pt idx="15">
                  <c:v>Transmission, 4G, 1000 Mo</c:v>
                </c:pt>
                <c:pt idx="16">
                  <c:v>Lecture, journal international, papier</c:v>
                </c:pt>
              </c:strCache>
            </c:strRef>
          </c:cat>
          <c:val>
            <c:numRef>
              <c:f>'Actions non comparables - V. PU'!$K$3:$K$19</c:f>
              <c:numCache>
                <c:formatCode>0</c:formatCode>
                <c:ptCount val="17"/>
                <c:pt idx="0" formatCode="0.0">
                  <c:v>0.66199335916268809</c:v>
                </c:pt>
                <c:pt idx="1">
                  <c:v>23.954267722273897</c:v>
                </c:pt>
                <c:pt idx="2">
                  <c:v>26.930430663921339</c:v>
                </c:pt>
                <c:pt idx="3">
                  <c:v>20.904503613363062</c:v>
                </c:pt>
                <c:pt idx="4">
                  <c:v>30.5436902924598</c:v>
                </c:pt>
                <c:pt idx="5">
                  <c:v>34.624470401827736</c:v>
                </c:pt>
                <c:pt idx="6">
                  <c:v>118.97741859924213</c:v>
                </c:pt>
                <c:pt idx="7">
                  <c:v>52.508530591170754</c:v>
                </c:pt>
                <c:pt idx="8">
                  <c:v>63.752960556669692</c:v>
                </c:pt>
                <c:pt idx="9">
                  <c:v>76.706809346751911</c:v>
                </c:pt>
                <c:pt idx="10">
                  <c:v>254.43789375203363</c:v>
                </c:pt>
                <c:pt idx="11">
                  <c:v>103.79390120549904</c:v>
                </c:pt>
                <c:pt idx="12">
                  <c:v>188.05729293399645</c:v>
                </c:pt>
                <c:pt idx="13">
                  <c:v>357.2328165817828</c:v>
                </c:pt>
                <c:pt idx="14">
                  <c:v>837.83379653112695</c:v>
                </c:pt>
                <c:pt idx="15">
                  <c:v>1171.8884511815818</c:v>
                </c:pt>
                <c:pt idx="16">
                  <c:v>9371.70910924483</c:v>
                </c:pt>
              </c:numCache>
            </c:numRef>
          </c:val>
          <c:smooth val="0"/>
          <c:extLst>
            <c:ext xmlns:c16="http://schemas.microsoft.com/office/drawing/2014/chart" uri="{C3380CC4-5D6E-409C-BE32-E72D297353CC}">
              <c16:uniqueId val="{00000005-5856-4FB1-870F-A1FBEB99B8C7}"/>
            </c:ext>
          </c:extLst>
        </c:ser>
        <c:dLbls>
          <c:showLegendKey val="0"/>
          <c:showVal val="0"/>
          <c:showCatName val="0"/>
          <c:showSerName val="0"/>
          <c:showPercent val="0"/>
          <c:showBubbleSize val="0"/>
        </c:dLbls>
        <c:hiLowLines>
          <c:spPr>
            <a:ln w="25400" cap="flat" cmpd="sng" algn="ctr">
              <a:solidFill>
                <a:schemeClr val="tx1">
                  <a:lumMod val="65000"/>
                  <a:lumOff val="35000"/>
                </a:schemeClr>
              </a:solidFill>
              <a:round/>
            </a:ln>
            <a:effectLst/>
          </c:spPr>
        </c:hiLowLines>
        <c:axId val="638097768"/>
        <c:axId val="638095800"/>
      </c:stockChart>
      <c:catAx>
        <c:axId val="638097768"/>
        <c:scaling>
          <c:orientation val="minMax"/>
        </c:scaling>
        <c:delete val="0"/>
        <c:axPos val="b"/>
        <c:numFmt formatCode="General" sourceLinked="1"/>
        <c:majorTickMark val="none"/>
        <c:minorTickMark val="none"/>
        <c:tickLblPos val="nextTo"/>
        <c:spPr>
          <a:noFill/>
          <a:ln w="9525" cap="flat" cmpd="sng" algn="ctr">
            <a:solidFill>
              <a:schemeClr val="tx1">
                <a:lumMod val="35000"/>
                <a:lumOff val="6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de-DE"/>
          </a:p>
        </c:txPr>
        <c:crossAx val="638095800"/>
        <c:crossesAt val="0.1"/>
        <c:auto val="1"/>
        <c:lblAlgn val="ctr"/>
        <c:lblOffset val="100"/>
        <c:noMultiLvlLbl val="0"/>
      </c:catAx>
      <c:valAx>
        <c:axId val="638095800"/>
        <c:scaling>
          <c:orientation val="minMax"/>
          <c:max val="2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de-DE"/>
          </a:p>
        </c:txPr>
        <c:crossAx val="638097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none" spc="0" normalizeH="0" baseline="0">
                <a:solidFill>
                  <a:schemeClr val="tx1">
                    <a:lumMod val="65000"/>
                    <a:lumOff val="35000"/>
                  </a:schemeClr>
                </a:solidFill>
                <a:latin typeface="+mj-lt"/>
                <a:ea typeface="+mj-ea"/>
                <a:cs typeface="+mj-cs"/>
              </a:defRPr>
            </a:pPr>
            <a:r>
              <a:rPr lang="de-CH" b="1"/>
              <a:t>Empreinte Carbone [CO2</a:t>
            </a:r>
            <a:r>
              <a:rPr lang="de-CH" b="1" baseline="0"/>
              <a:t> en kg</a:t>
            </a:r>
            <a:r>
              <a:rPr lang="de-CH" b="1"/>
              <a:t>]</a:t>
            </a:r>
          </a:p>
        </c:rich>
      </c:tx>
      <c:layout/>
      <c:overlay val="0"/>
      <c:spPr>
        <a:noFill/>
        <a:ln>
          <a:noFill/>
        </a:ln>
        <a:effectLst/>
      </c:spPr>
      <c:txPr>
        <a:bodyPr rot="0" spcFirstLastPara="1" vertOverflow="ellipsis" vert="horz" wrap="square" anchor="ctr" anchorCtr="1"/>
        <a:lstStyle/>
        <a:p>
          <a:pPr>
            <a:defRPr sz="2000" b="1" i="0" u="none" strike="noStrike" kern="1200" cap="none" spc="0" normalizeH="0" baseline="0">
              <a:solidFill>
                <a:schemeClr val="tx1">
                  <a:lumMod val="65000"/>
                  <a:lumOff val="35000"/>
                </a:schemeClr>
              </a:solidFill>
              <a:latin typeface="+mj-lt"/>
              <a:ea typeface="+mj-ea"/>
              <a:cs typeface="+mj-cs"/>
            </a:defRPr>
          </a:pPr>
          <a:endParaRPr lang="de-DE"/>
        </a:p>
      </c:txPr>
    </c:title>
    <c:autoTitleDeleted val="0"/>
    <c:plotArea>
      <c:layout>
        <c:manualLayout>
          <c:layoutTarget val="inner"/>
          <c:xMode val="edge"/>
          <c:yMode val="edge"/>
          <c:x val="3.3429246191469378E-2"/>
          <c:y val="7.3606571584212355E-2"/>
          <c:w val="0.96136063886078915"/>
          <c:h val="0.61871019660278315"/>
        </c:manualLayout>
      </c:layout>
      <c:stockChart>
        <c:ser>
          <c:idx val="0"/>
          <c:order val="0"/>
          <c:spPr>
            <a:ln w="25400" cap="rnd">
              <a:noFill/>
              <a:round/>
            </a:ln>
            <a:effectLst/>
          </c:spPr>
          <c:marker>
            <c:symbol val="circle"/>
            <c:size val="8"/>
            <c:spPr>
              <a:solidFill>
                <a:srgbClr val="00B050"/>
              </a:solidFill>
              <a:ln>
                <a:noFill/>
              </a:ln>
              <a:effectLst/>
            </c:spPr>
          </c:marker>
          <c:cat>
            <c:strRef>
              <c:f>'Actions non comparables - V. PU'!$B$3:$B$19</c:f>
              <c:strCache>
                <c:ptCount val="17"/>
                <c:pt idx="0">
                  <c:v>Message texte, en ligne, 1 message</c:v>
                </c:pt>
                <c:pt idx="1">
                  <c:v>Appel, telephone portable, 1 h</c:v>
                </c:pt>
                <c:pt idx="2">
                  <c:v>Appel, telephone fixe, 1 h</c:v>
                </c:pt>
                <c:pt idx="3">
                  <c:v>Appel, telephone portable, whatsapp, 1 h</c:v>
                </c:pt>
                <c:pt idx="4">
                  <c:v>Message vocal, en ligne, whatsapp, 1 h</c:v>
                </c:pt>
                <c:pt idx="5">
                  <c:v>Ecoute, musique, CD, 1 h</c:v>
                </c:pt>
                <c:pt idx="6">
                  <c:v>Transmission, 5G, 1000 Mo</c:v>
                </c:pt>
                <c:pt idx="7">
                  <c:v>Jeu vidéo, acheté en magasin, offline, 1 h</c:v>
                </c:pt>
                <c:pt idx="8">
                  <c:v>Jeu vidéo, téléchargé, offline, 1 h</c:v>
                </c:pt>
                <c:pt idx="9">
                  <c:v>Jeu vidéo, réalité virtuelle, 1 h</c:v>
                </c:pt>
                <c:pt idx="10">
                  <c:v>Transmission, ADSL, 1000 Mo</c:v>
                </c:pt>
                <c:pt idx="11">
                  <c:v>Lecture, journal international, ordinateur, lecture en ligne</c:v>
                </c:pt>
                <c:pt idx="12">
                  <c:v>Video, live, réseau TV, 1 h</c:v>
                </c:pt>
                <c:pt idx="13">
                  <c:v>Jeu vidéo, téléchargé, en ligne, 1 h</c:v>
                </c:pt>
                <c:pt idx="14">
                  <c:v>Jeu vidéo, streaming, twitch, 1 h</c:v>
                </c:pt>
                <c:pt idx="15">
                  <c:v>Transmission, 4G, 1000 Mo</c:v>
                </c:pt>
                <c:pt idx="16">
                  <c:v>Lecture, journal international, papier</c:v>
                </c:pt>
              </c:strCache>
            </c:strRef>
          </c:cat>
          <c:val>
            <c:numRef>
              <c:f>'Actions non comparables - V. PU'!$F$3:$F$19</c:f>
              <c:numCache>
                <c:formatCode>0.000</c:formatCode>
                <c:ptCount val="17"/>
                <c:pt idx="0" formatCode="0.0000">
                  <c:v>2.3910058E-4</c:v>
                </c:pt>
                <c:pt idx="1">
                  <c:v>9.2205654000000001E-3</c:v>
                </c:pt>
                <c:pt idx="2">
                  <c:v>1.3372922000000001E-2</c:v>
                </c:pt>
                <c:pt idx="3">
                  <c:v>1.1167678E-2</c:v>
                </c:pt>
                <c:pt idx="4">
                  <c:v>1.2499263E-2</c:v>
                </c:pt>
                <c:pt idx="5">
                  <c:v>2.4259216E-2</c:v>
                </c:pt>
                <c:pt idx="6">
                  <c:v>2.9473590000000001E-2</c:v>
                </c:pt>
                <c:pt idx="7">
                  <c:v>2.3317665000000001E-2</c:v>
                </c:pt>
                <c:pt idx="8">
                  <c:v>2.6666532E-2</c:v>
                </c:pt>
                <c:pt idx="9">
                  <c:v>3.4961933000000001E-2</c:v>
                </c:pt>
                <c:pt idx="10">
                  <c:v>5.3944858999999998E-2</c:v>
                </c:pt>
                <c:pt idx="11">
                  <c:v>5.5192583000000003E-2</c:v>
                </c:pt>
                <c:pt idx="12">
                  <c:v>0.11774149</c:v>
                </c:pt>
                <c:pt idx="13">
                  <c:v>0.14324999999999999</c:v>
                </c:pt>
                <c:pt idx="14">
                  <c:v>0.22940548999999999</c:v>
                </c:pt>
                <c:pt idx="15">
                  <c:v>0.29274176000000002</c:v>
                </c:pt>
                <c:pt idx="16">
                  <c:v>1.4641096</c:v>
                </c:pt>
              </c:numCache>
            </c:numRef>
          </c:val>
          <c:smooth val="0"/>
          <c:extLst>
            <c:ext xmlns:c16="http://schemas.microsoft.com/office/drawing/2014/chart" uri="{C3380CC4-5D6E-409C-BE32-E72D297353CC}">
              <c16:uniqueId val="{00000004-BA55-41D6-8624-48EBEA57748F}"/>
            </c:ext>
          </c:extLst>
        </c:ser>
        <c:ser>
          <c:idx val="1"/>
          <c:order val="1"/>
          <c:spPr>
            <a:ln w="25400" cap="rnd">
              <a:noFill/>
              <a:round/>
            </a:ln>
            <a:effectLst/>
          </c:spPr>
          <c:marker>
            <c:symbol val="dash"/>
            <c:size val="5"/>
            <c:spPr>
              <a:solidFill>
                <a:schemeClr val="tx1"/>
              </a:solidFill>
              <a:ln>
                <a:noFill/>
              </a:ln>
              <a:effectLst/>
            </c:spPr>
          </c:marker>
          <c:cat>
            <c:strRef>
              <c:f>'Actions non comparables - V. PU'!$B$3:$B$19</c:f>
              <c:strCache>
                <c:ptCount val="17"/>
                <c:pt idx="0">
                  <c:v>Message texte, en ligne, 1 message</c:v>
                </c:pt>
                <c:pt idx="1">
                  <c:v>Appel, telephone portable, 1 h</c:v>
                </c:pt>
                <c:pt idx="2">
                  <c:v>Appel, telephone fixe, 1 h</c:v>
                </c:pt>
                <c:pt idx="3">
                  <c:v>Appel, telephone portable, whatsapp, 1 h</c:v>
                </c:pt>
                <c:pt idx="4">
                  <c:v>Message vocal, en ligne, whatsapp, 1 h</c:v>
                </c:pt>
                <c:pt idx="5">
                  <c:v>Ecoute, musique, CD, 1 h</c:v>
                </c:pt>
                <c:pt idx="6">
                  <c:v>Transmission, 5G, 1000 Mo</c:v>
                </c:pt>
                <c:pt idx="7">
                  <c:v>Jeu vidéo, acheté en magasin, offline, 1 h</c:v>
                </c:pt>
                <c:pt idx="8">
                  <c:v>Jeu vidéo, téléchargé, offline, 1 h</c:v>
                </c:pt>
                <c:pt idx="9">
                  <c:v>Jeu vidéo, réalité virtuelle, 1 h</c:v>
                </c:pt>
                <c:pt idx="10">
                  <c:v>Transmission, ADSL, 1000 Mo</c:v>
                </c:pt>
                <c:pt idx="11">
                  <c:v>Lecture, journal international, ordinateur, lecture en ligne</c:v>
                </c:pt>
                <c:pt idx="12">
                  <c:v>Video, live, réseau TV, 1 h</c:v>
                </c:pt>
                <c:pt idx="13">
                  <c:v>Jeu vidéo, téléchargé, en ligne, 1 h</c:v>
                </c:pt>
                <c:pt idx="14">
                  <c:v>Jeu vidéo, streaming, twitch, 1 h</c:v>
                </c:pt>
                <c:pt idx="15">
                  <c:v>Transmission, 4G, 1000 Mo</c:v>
                </c:pt>
                <c:pt idx="16">
                  <c:v>Lecture, journal international, papier</c:v>
                </c:pt>
              </c:strCache>
            </c:strRef>
          </c:cat>
          <c:val>
            <c:numRef>
              <c:f>'Actions non comparables - V. PU'!$H$3:$H$19</c:f>
              <c:numCache>
                <c:formatCode>0.000</c:formatCode>
                <c:ptCount val="17"/>
                <c:pt idx="0" formatCode="0.0000">
                  <c:v>1.1955029E-4</c:v>
                </c:pt>
                <c:pt idx="1">
                  <c:v>4.6102827000000001E-3</c:v>
                </c:pt>
                <c:pt idx="2">
                  <c:v>6.6864610000000003E-3</c:v>
                </c:pt>
                <c:pt idx="3">
                  <c:v>5.5838390000000002E-3</c:v>
                </c:pt>
                <c:pt idx="4">
                  <c:v>6.2496315E-3</c:v>
                </c:pt>
                <c:pt idx="5">
                  <c:v>1.2129608E-2</c:v>
                </c:pt>
                <c:pt idx="6">
                  <c:v>7.3683975000000002E-3</c:v>
                </c:pt>
                <c:pt idx="7">
                  <c:v>1.1658832500000001E-2</c:v>
                </c:pt>
                <c:pt idx="8">
                  <c:v>1.3333266E-2</c:v>
                </c:pt>
                <c:pt idx="9">
                  <c:v>1.74809665E-2</c:v>
                </c:pt>
                <c:pt idx="10">
                  <c:v>1.3486214749999999E-2</c:v>
                </c:pt>
                <c:pt idx="11">
                  <c:v>3.3115549800000005E-2</c:v>
                </c:pt>
                <c:pt idx="12">
                  <c:v>5.8870745000000002E-2</c:v>
                </c:pt>
                <c:pt idx="13">
                  <c:v>7.1624999999999994E-2</c:v>
                </c:pt>
                <c:pt idx="14">
                  <c:v>7.6468496666666663E-2</c:v>
                </c:pt>
                <c:pt idx="15">
                  <c:v>7.3185440000000004E-2</c:v>
                </c:pt>
                <c:pt idx="16">
                  <c:v>0.14641096000000001</c:v>
                </c:pt>
              </c:numCache>
            </c:numRef>
          </c:val>
          <c:smooth val="0"/>
          <c:extLst>
            <c:ext xmlns:c16="http://schemas.microsoft.com/office/drawing/2014/chart" uri="{C3380CC4-5D6E-409C-BE32-E72D297353CC}">
              <c16:uniqueId val="{00000005-BA55-41D6-8624-48EBEA57748F}"/>
            </c:ext>
          </c:extLst>
        </c:ser>
        <c:ser>
          <c:idx val="2"/>
          <c:order val="2"/>
          <c:spPr>
            <a:ln w="25400" cap="rnd">
              <a:noFill/>
              <a:round/>
            </a:ln>
            <a:effectLst/>
          </c:spPr>
          <c:marker>
            <c:symbol val="dash"/>
            <c:size val="5"/>
            <c:spPr>
              <a:solidFill>
                <a:schemeClr val="tx1"/>
              </a:solidFill>
              <a:ln>
                <a:noFill/>
              </a:ln>
              <a:effectLst/>
            </c:spPr>
          </c:marker>
          <c:cat>
            <c:strRef>
              <c:f>'Actions non comparables - V. PU'!$B$3:$B$19</c:f>
              <c:strCache>
                <c:ptCount val="17"/>
                <c:pt idx="0">
                  <c:v>Message texte, en ligne, 1 message</c:v>
                </c:pt>
                <c:pt idx="1">
                  <c:v>Appel, telephone portable, 1 h</c:v>
                </c:pt>
                <c:pt idx="2">
                  <c:v>Appel, telephone fixe, 1 h</c:v>
                </c:pt>
                <c:pt idx="3">
                  <c:v>Appel, telephone portable, whatsapp, 1 h</c:v>
                </c:pt>
                <c:pt idx="4">
                  <c:v>Message vocal, en ligne, whatsapp, 1 h</c:v>
                </c:pt>
                <c:pt idx="5">
                  <c:v>Ecoute, musique, CD, 1 h</c:v>
                </c:pt>
                <c:pt idx="6">
                  <c:v>Transmission, 5G, 1000 Mo</c:v>
                </c:pt>
                <c:pt idx="7">
                  <c:v>Jeu vidéo, acheté en magasin, offline, 1 h</c:v>
                </c:pt>
                <c:pt idx="8">
                  <c:v>Jeu vidéo, téléchargé, offline, 1 h</c:v>
                </c:pt>
                <c:pt idx="9">
                  <c:v>Jeu vidéo, réalité virtuelle, 1 h</c:v>
                </c:pt>
                <c:pt idx="10">
                  <c:v>Transmission, ADSL, 1000 Mo</c:v>
                </c:pt>
                <c:pt idx="11">
                  <c:v>Lecture, journal international, ordinateur, lecture en ligne</c:v>
                </c:pt>
                <c:pt idx="12">
                  <c:v>Video, live, réseau TV, 1 h</c:v>
                </c:pt>
                <c:pt idx="13">
                  <c:v>Jeu vidéo, téléchargé, en ligne, 1 h</c:v>
                </c:pt>
                <c:pt idx="14">
                  <c:v>Jeu vidéo, streaming, twitch, 1 h</c:v>
                </c:pt>
                <c:pt idx="15">
                  <c:v>Transmission, 4G, 1000 Mo</c:v>
                </c:pt>
                <c:pt idx="16">
                  <c:v>Lecture, journal international, papier</c:v>
                </c:pt>
              </c:strCache>
            </c:strRef>
          </c:cat>
          <c:val>
            <c:numRef>
              <c:f>'Actions non comparables - V. PU'!$I$3:$I$19</c:f>
              <c:numCache>
                <c:formatCode>0.000</c:formatCode>
                <c:ptCount val="17"/>
                <c:pt idx="0" formatCode="0.0000">
                  <c:v>4.7820116E-4</c:v>
                </c:pt>
                <c:pt idx="1">
                  <c:v>1.84411308E-2</c:v>
                </c:pt>
                <c:pt idx="2">
                  <c:v>2.6745844000000001E-2</c:v>
                </c:pt>
                <c:pt idx="3">
                  <c:v>1.6751517E-2</c:v>
                </c:pt>
                <c:pt idx="4">
                  <c:v>2.4998526E-2</c:v>
                </c:pt>
                <c:pt idx="5">
                  <c:v>4.8518432E-2</c:v>
                </c:pt>
                <c:pt idx="6">
                  <c:v>0.11789436</c:v>
                </c:pt>
                <c:pt idx="7">
                  <c:v>3.4976497500000002E-2</c:v>
                </c:pt>
                <c:pt idx="8">
                  <c:v>3.9999798000000003E-2</c:v>
                </c:pt>
                <c:pt idx="9">
                  <c:v>5.2442899500000001E-2</c:v>
                </c:pt>
                <c:pt idx="10">
                  <c:v>0.21577943599999999</c:v>
                </c:pt>
                <c:pt idx="11">
                  <c:v>7.7269616200000002E-2</c:v>
                </c:pt>
                <c:pt idx="12">
                  <c:v>0.17661223500000001</c:v>
                </c:pt>
                <c:pt idx="13">
                  <c:v>0.28649999999999998</c:v>
                </c:pt>
                <c:pt idx="14">
                  <c:v>0.68821646999999997</c:v>
                </c:pt>
                <c:pt idx="15">
                  <c:v>1.1709670400000001</c:v>
                </c:pt>
                <c:pt idx="16">
                  <c:v>14.641096000000001</c:v>
                </c:pt>
              </c:numCache>
            </c:numRef>
          </c:val>
          <c:smooth val="0"/>
          <c:extLst>
            <c:ext xmlns:c16="http://schemas.microsoft.com/office/drawing/2014/chart" uri="{C3380CC4-5D6E-409C-BE32-E72D297353CC}">
              <c16:uniqueId val="{00000006-BA55-41D6-8624-48EBEA57748F}"/>
            </c:ext>
          </c:extLst>
        </c:ser>
        <c:dLbls>
          <c:showLegendKey val="0"/>
          <c:showVal val="0"/>
          <c:showCatName val="0"/>
          <c:showSerName val="0"/>
          <c:showPercent val="0"/>
          <c:showBubbleSize val="0"/>
        </c:dLbls>
        <c:hiLowLines>
          <c:spPr>
            <a:ln w="25400" cap="flat" cmpd="sng" algn="ctr">
              <a:solidFill>
                <a:schemeClr val="tx1">
                  <a:lumMod val="65000"/>
                  <a:lumOff val="35000"/>
                </a:schemeClr>
              </a:solidFill>
              <a:round/>
            </a:ln>
            <a:effectLst/>
          </c:spPr>
        </c:hiLowLines>
        <c:axId val="638097768"/>
        <c:axId val="638095800"/>
      </c:stockChart>
      <c:catAx>
        <c:axId val="638097768"/>
        <c:scaling>
          <c:orientation val="minMax"/>
        </c:scaling>
        <c:delete val="0"/>
        <c:axPos val="b"/>
        <c:numFmt formatCode="General" sourceLinked="1"/>
        <c:majorTickMark val="none"/>
        <c:minorTickMark val="none"/>
        <c:tickLblPos val="low"/>
        <c:spPr>
          <a:noFill/>
          <a:ln w="9525" cap="flat" cmpd="sng" algn="ctr">
            <a:solidFill>
              <a:schemeClr val="tx1">
                <a:lumMod val="35000"/>
                <a:lumOff val="6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de-DE"/>
          </a:p>
        </c:txPr>
        <c:crossAx val="638095800"/>
        <c:crosses val="autoZero"/>
        <c:auto val="1"/>
        <c:lblAlgn val="ctr"/>
        <c:lblOffset val="100"/>
        <c:noMultiLvlLbl val="0"/>
      </c:catAx>
      <c:valAx>
        <c:axId val="638095800"/>
        <c:scaling>
          <c:orientation val="minMax"/>
          <c:max val="1.2"/>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de-DE"/>
          </a:p>
        </c:txPr>
        <c:crossAx val="638097768"/>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35000"/>
            <a:lumOff val="6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tx1"/>
    </cs:fontRef>
    <cs:spPr>
      <a:solidFill>
        <a:schemeClr val="phClr">
          <a:alpha val="10000"/>
        </a:schemeClr>
      </a:solidFill>
      <a:ln w="28575">
        <a:solidFill>
          <a:schemeClr val="phClr"/>
        </a:solidFill>
      </a:ln>
      <a:effectLst>
        <a:innerShdw blurRad="114300">
          <a:schemeClr val="phClr"/>
        </a:innerShdw>
      </a:effectLst>
    </cs:spPr>
  </cs:dataPoint>
  <cs:dataPoint3D>
    <cs:lnRef idx="0">
      <cs:styleClr val="auto"/>
    </cs:lnRef>
    <cs:fillRef idx="0">
      <cs:styleClr val="auto"/>
    </cs:fillRef>
    <cs:effectRef idx="0">
      <cs:styleClr val="auto"/>
    </cs:effectRef>
    <cs:fontRef idx="minor">
      <a:schemeClr val="tx1"/>
    </cs:fontRef>
    <cs:spPr>
      <a:solidFill>
        <a:schemeClr val="phClr">
          <a:alpha val="10000"/>
        </a:schemeClr>
      </a:solidFill>
      <a:ln w="28575">
        <a:solidFill>
          <a:schemeClr val="phClr"/>
        </a:solidFill>
      </a:ln>
      <a:effectLst>
        <a:innerShdw blurRad="114300">
          <a:schemeClr val="phClr"/>
        </a:innerShdw>
      </a:effectLst>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28575">
        <a:solidFill>
          <a:schemeClr val="tx1">
            <a:lumMod val="65000"/>
            <a:lumOff val="35000"/>
          </a:schemeClr>
        </a:solidFill>
      </a:ln>
    </cs:spPr>
  </cs:downBar>
  <cs:dropLine>
    <cs:lnRef idx="0"/>
    <cs:fillRef idx="0"/>
    <cs:effectRef idx="0"/>
    <cs:fontRef idx="minor">
      <a:schemeClr val="dk1"/>
    </cs:fontRef>
    <cs:spPr>
      <a:ln w="9525">
        <a:solidFill>
          <a:schemeClr val="tx1">
            <a:lumMod val="50000"/>
            <a:lumOff val="50000"/>
          </a:schemeClr>
        </a:solidFill>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25400"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28575">
        <a:solidFill>
          <a:schemeClr val="tx1">
            <a:lumMod val="50000"/>
            <a:lumOff val="50000"/>
          </a:schemeClr>
        </a:solidFill>
      </a:ln>
    </cs:spPr>
  </cs:upBar>
  <cs:valueAxis>
    <cs:lnRef idx="0"/>
    <cs:fillRef idx="0"/>
    <cs:effectRef idx="0"/>
    <cs:fontRef idx="minor">
      <a:schemeClr val="tx1">
        <a:lumMod val="65000"/>
        <a:lumOff val="35000"/>
      </a:schemeClr>
    </cs:fontRef>
    <cs:defRPr sz="900" b="1"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35000"/>
            <a:lumOff val="6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tx1"/>
    </cs:fontRef>
    <cs:spPr>
      <a:solidFill>
        <a:schemeClr val="phClr">
          <a:alpha val="10000"/>
        </a:schemeClr>
      </a:solidFill>
      <a:ln w="28575">
        <a:solidFill>
          <a:schemeClr val="phClr"/>
        </a:solidFill>
      </a:ln>
      <a:effectLst>
        <a:innerShdw blurRad="114300">
          <a:schemeClr val="phClr"/>
        </a:innerShdw>
      </a:effectLst>
    </cs:spPr>
  </cs:dataPoint>
  <cs:dataPoint3D>
    <cs:lnRef idx="0">
      <cs:styleClr val="auto"/>
    </cs:lnRef>
    <cs:fillRef idx="0">
      <cs:styleClr val="auto"/>
    </cs:fillRef>
    <cs:effectRef idx="0">
      <cs:styleClr val="auto"/>
    </cs:effectRef>
    <cs:fontRef idx="minor">
      <a:schemeClr val="tx1"/>
    </cs:fontRef>
    <cs:spPr>
      <a:solidFill>
        <a:schemeClr val="phClr">
          <a:alpha val="10000"/>
        </a:schemeClr>
      </a:solidFill>
      <a:ln w="28575">
        <a:solidFill>
          <a:schemeClr val="phClr"/>
        </a:solidFill>
      </a:ln>
      <a:effectLst>
        <a:innerShdw blurRad="114300">
          <a:schemeClr val="phClr"/>
        </a:innerShdw>
      </a:effectLst>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28575">
        <a:solidFill>
          <a:schemeClr val="tx1">
            <a:lumMod val="65000"/>
            <a:lumOff val="35000"/>
          </a:schemeClr>
        </a:solidFill>
      </a:ln>
    </cs:spPr>
  </cs:downBar>
  <cs:dropLine>
    <cs:lnRef idx="0"/>
    <cs:fillRef idx="0"/>
    <cs:effectRef idx="0"/>
    <cs:fontRef idx="minor">
      <a:schemeClr val="dk1"/>
    </cs:fontRef>
    <cs:spPr>
      <a:ln w="9525">
        <a:solidFill>
          <a:schemeClr val="tx1">
            <a:lumMod val="50000"/>
            <a:lumOff val="50000"/>
          </a:schemeClr>
        </a:solidFill>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25400"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28575">
        <a:solidFill>
          <a:schemeClr val="tx1">
            <a:lumMod val="50000"/>
            <a:lumOff val="50000"/>
          </a:schemeClr>
        </a:solidFill>
      </a:ln>
    </cs:spPr>
  </cs:upBar>
  <cs:valueAxis>
    <cs:lnRef idx="0"/>
    <cs:fillRef idx="0"/>
    <cs:effectRef idx="0"/>
    <cs:fontRef idx="minor">
      <a:schemeClr val="tx1">
        <a:lumMod val="65000"/>
        <a:lumOff val="35000"/>
      </a:schemeClr>
    </cs:fontRef>
    <cs:defRPr sz="900" b="1"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35000"/>
            <a:lumOff val="6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tx1"/>
    </cs:fontRef>
    <cs:spPr>
      <a:solidFill>
        <a:schemeClr val="phClr">
          <a:alpha val="10000"/>
        </a:schemeClr>
      </a:solidFill>
      <a:ln w="28575">
        <a:solidFill>
          <a:schemeClr val="phClr"/>
        </a:solidFill>
      </a:ln>
      <a:effectLst>
        <a:innerShdw blurRad="114300">
          <a:schemeClr val="phClr"/>
        </a:innerShdw>
      </a:effectLst>
    </cs:spPr>
  </cs:dataPoint>
  <cs:dataPoint3D>
    <cs:lnRef idx="0">
      <cs:styleClr val="auto"/>
    </cs:lnRef>
    <cs:fillRef idx="0">
      <cs:styleClr val="auto"/>
    </cs:fillRef>
    <cs:effectRef idx="0">
      <cs:styleClr val="auto"/>
    </cs:effectRef>
    <cs:fontRef idx="minor">
      <a:schemeClr val="tx1"/>
    </cs:fontRef>
    <cs:spPr>
      <a:solidFill>
        <a:schemeClr val="phClr">
          <a:alpha val="10000"/>
        </a:schemeClr>
      </a:solidFill>
      <a:ln w="28575">
        <a:solidFill>
          <a:schemeClr val="phClr"/>
        </a:solidFill>
      </a:ln>
      <a:effectLst>
        <a:innerShdw blurRad="114300">
          <a:schemeClr val="phClr"/>
        </a:innerShdw>
      </a:effectLst>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28575">
        <a:solidFill>
          <a:schemeClr val="tx1">
            <a:lumMod val="65000"/>
            <a:lumOff val="35000"/>
          </a:schemeClr>
        </a:solidFill>
      </a:ln>
    </cs:spPr>
  </cs:downBar>
  <cs:dropLine>
    <cs:lnRef idx="0"/>
    <cs:fillRef idx="0"/>
    <cs:effectRef idx="0"/>
    <cs:fontRef idx="minor">
      <a:schemeClr val="dk1"/>
    </cs:fontRef>
    <cs:spPr>
      <a:ln w="9525">
        <a:solidFill>
          <a:schemeClr val="tx1">
            <a:lumMod val="50000"/>
            <a:lumOff val="50000"/>
          </a:schemeClr>
        </a:solidFill>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25400"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28575">
        <a:solidFill>
          <a:schemeClr val="tx1">
            <a:lumMod val="50000"/>
            <a:lumOff val="50000"/>
          </a:schemeClr>
        </a:solidFill>
      </a:ln>
    </cs:spPr>
  </cs:upBar>
  <cs:valueAxis>
    <cs:lnRef idx="0"/>
    <cs:fillRef idx="0"/>
    <cs:effectRef idx="0"/>
    <cs:fontRef idx="minor">
      <a:schemeClr val="tx1">
        <a:lumMod val="65000"/>
        <a:lumOff val="35000"/>
      </a:schemeClr>
    </cs:fontRef>
    <cs:defRPr sz="900" b="1"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3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35000"/>
            <a:lumOff val="6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tx1"/>
    </cs:fontRef>
    <cs:spPr>
      <a:solidFill>
        <a:schemeClr val="phClr">
          <a:alpha val="10000"/>
        </a:schemeClr>
      </a:solidFill>
      <a:ln w="28575">
        <a:solidFill>
          <a:schemeClr val="phClr"/>
        </a:solidFill>
      </a:ln>
      <a:effectLst>
        <a:innerShdw blurRad="114300">
          <a:schemeClr val="phClr"/>
        </a:innerShdw>
      </a:effectLst>
    </cs:spPr>
  </cs:dataPoint>
  <cs:dataPoint3D>
    <cs:lnRef idx="0">
      <cs:styleClr val="auto"/>
    </cs:lnRef>
    <cs:fillRef idx="0">
      <cs:styleClr val="auto"/>
    </cs:fillRef>
    <cs:effectRef idx="0">
      <cs:styleClr val="auto"/>
    </cs:effectRef>
    <cs:fontRef idx="minor">
      <a:schemeClr val="tx1"/>
    </cs:fontRef>
    <cs:spPr>
      <a:solidFill>
        <a:schemeClr val="phClr">
          <a:alpha val="10000"/>
        </a:schemeClr>
      </a:solidFill>
      <a:ln w="28575">
        <a:solidFill>
          <a:schemeClr val="phClr"/>
        </a:solidFill>
      </a:ln>
      <a:effectLst>
        <a:innerShdw blurRad="114300">
          <a:schemeClr val="phClr"/>
        </a:innerShdw>
      </a:effectLst>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28575">
        <a:solidFill>
          <a:schemeClr val="tx1">
            <a:lumMod val="65000"/>
            <a:lumOff val="35000"/>
          </a:schemeClr>
        </a:solidFill>
      </a:ln>
    </cs:spPr>
  </cs:downBar>
  <cs:dropLine>
    <cs:lnRef idx="0"/>
    <cs:fillRef idx="0"/>
    <cs:effectRef idx="0"/>
    <cs:fontRef idx="minor">
      <a:schemeClr val="dk1"/>
    </cs:fontRef>
    <cs:spPr>
      <a:ln w="9525">
        <a:solidFill>
          <a:schemeClr val="tx1">
            <a:lumMod val="50000"/>
            <a:lumOff val="50000"/>
          </a:schemeClr>
        </a:solidFill>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25400"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28575">
        <a:solidFill>
          <a:schemeClr val="tx1">
            <a:lumMod val="50000"/>
            <a:lumOff val="50000"/>
          </a:schemeClr>
        </a:solidFill>
      </a:ln>
    </cs:spPr>
  </cs:upBar>
  <cs:valueAxis>
    <cs:lnRef idx="0"/>
    <cs:fillRef idx="0"/>
    <cs:effectRef idx="0"/>
    <cs:fontRef idx="minor">
      <a:schemeClr val="tx1">
        <a:lumMod val="65000"/>
        <a:lumOff val="35000"/>
      </a:schemeClr>
    </cs:fontRef>
    <cs:defRPr sz="900" b="1"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3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35000"/>
            <a:lumOff val="6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tx1"/>
    </cs:fontRef>
    <cs:spPr>
      <a:solidFill>
        <a:schemeClr val="phClr">
          <a:alpha val="10000"/>
        </a:schemeClr>
      </a:solidFill>
      <a:ln w="28575">
        <a:solidFill>
          <a:schemeClr val="phClr"/>
        </a:solidFill>
      </a:ln>
      <a:effectLst>
        <a:innerShdw blurRad="114300">
          <a:schemeClr val="phClr"/>
        </a:innerShdw>
      </a:effectLst>
    </cs:spPr>
  </cs:dataPoint>
  <cs:dataPoint3D>
    <cs:lnRef idx="0">
      <cs:styleClr val="auto"/>
    </cs:lnRef>
    <cs:fillRef idx="0">
      <cs:styleClr val="auto"/>
    </cs:fillRef>
    <cs:effectRef idx="0">
      <cs:styleClr val="auto"/>
    </cs:effectRef>
    <cs:fontRef idx="minor">
      <a:schemeClr val="tx1"/>
    </cs:fontRef>
    <cs:spPr>
      <a:solidFill>
        <a:schemeClr val="phClr">
          <a:alpha val="10000"/>
        </a:schemeClr>
      </a:solidFill>
      <a:ln w="28575">
        <a:solidFill>
          <a:schemeClr val="phClr"/>
        </a:solidFill>
      </a:ln>
      <a:effectLst>
        <a:innerShdw blurRad="114300">
          <a:schemeClr val="phClr"/>
        </a:innerShdw>
      </a:effectLst>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28575">
        <a:solidFill>
          <a:schemeClr val="tx1">
            <a:lumMod val="65000"/>
            <a:lumOff val="35000"/>
          </a:schemeClr>
        </a:solidFill>
      </a:ln>
    </cs:spPr>
  </cs:downBar>
  <cs:dropLine>
    <cs:lnRef idx="0"/>
    <cs:fillRef idx="0"/>
    <cs:effectRef idx="0"/>
    <cs:fontRef idx="minor">
      <a:schemeClr val="dk1"/>
    </cs:fontRef>
    <cs:spPr>
      <a:ln w="9525">
        <a:solidFill>
          <a:schemeClr val="tx1">
            <a:lumMod val="50000"/>
            <a:lumOff val="50000"/>
          </a:schemeClr>
        </a:solidFill>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25400"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28575">
        <a:solidFill>
          <a:schemeClr val="tx1">
            <a:lumMod val="50000"/>
            <a:lumOff val="50000"/>
          </a:schemeClr>
        </a:solidFill>
      </a:ln>
    </cs:spPr>
  </cs:upBar>
  <cs:valueAxis>
    <cs:lnRef idx="0"/>
    <cs:fillRef idx="0"/>
    <cs:effectRef idx="0"/>
    <cs:fontRef idx="minor">
      <a:schemeClr val="tx1">
        <a:lumMod val="65000"/>
        <a:lumOff val="35000"/>
      </a:schemeClr>
    </cs:fontRef>
    <cs:defRPr sz="900" b="1"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3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35000"/>
            <a:lumOff val="6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tx1"/>
    </cs:fontRef>
    <cs:spPr>
      <a:solidFill>
        <a:schemeClr val="phClr">
          <a:alpha val="10000"/>
        </a:schemeClr>
      </a:solidFill>
      <a:ln w="28575">
        <a:solidFill>
          <a:schemeClr val="phClr"/>
        </a:solidFill>
      </a:ln>
      <a:effectLst>
        <a:innerShdw blurRad="114300">
          <a:schemeClr val="phClr"/>
        </a:innerShdw>
      </a:effectLst>
    </cs:spPr>
  </cs:dataPoint>
  <cs:dataPoint3D>
    <cs:lnRef idx="0">
      <cs:styleClr val="auto"/>
    </cs:lnRef>
    <cs:fillRef idx="0">
      <cs:styleClr val="auto"/>
    </cs:fillRef>
    <cs:effectRef idx="0">
      <cs:styleClr val="auto"/>
    </cs:effectRef>
    <cs:fontRef idx="minor">
      <a:schemeClr val="tx1"/>
    </cs:fontRef>
    <cs:spPr>
      <a:solidFill>
        <a:schemeClr val="phClr">
          <a:alpha val="10000"/>
        </a:schemeClr>
      </a:solidFill>
      <a:ln w="28575">
        <a:solidFill>
          <a:schemeClr val="phClr"/>
        </a:solidFill>
      </a:ln>
      <a:effectLst>
        <a:innerShdw blurRad="114300">
          <a:schemeClr val="phClr"/>
        </a:innerShdw>
      </a:effectLst>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28575">
        <a:solidFill>
          <a:schemeClr val="tx1">
            <a:lumMod val="65000"/>
            <a:lumOff val="35000"/>
          </a:schemeClr>
        </a:solidFill>
      </a:ln>
    </cs:spPr>
  </cs:downBar>
  <cs:dropLine>
    <cs:lnRef idx="0"/>
    <cs:fillRef idx="0"/>
    <cs:effectRef idx="0"/>
    <cs:fontRef idx="minor">
      <a:schemeClr val="dk1"/>
    </cs:fontRef>
    <cs:spPr>
      <a:ln w="9525">
        <a:solidFill>
          <a:schemeClr val="tx1">
            <a:lumMod val="50000"/>
            <a:lumOff val="50000"/>
          </a:schemeClr>
        </a:solidFill>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25400"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28575">
        <a:solidFill>
          <a:schemeClr val="tx1">
            <a:lumMod val="50000"/>
            <a:lumOff val="50000"/>
          </a:schemeClr>
        </a:solidFill>
      </a:ln>
    </cs:spPr>
  </cs:upBar>
  <cs:valueAxis>
    <cs:lnRef idx="0"/>
    <cs:fillRef idx="0"/>
    <cs:effectRef idx="0"/>
    <cs:fontRef idx="minor">
      <a:schemeClr val="tx1">
        <a:lumMod val="65000"/>
        <a:lumOff val="35000"/>
      </a:schemeClr>
    </cs:fontRef>
    <cs:defRPr sz="900" b="1"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1</xdr:row>
      <xdr:rowOff>12095</xdr:rowOff>
    </xdr:from>
    <xdr:to>
      <xdr:col>2</xdr:col>
      <xdr:colOff>265270</xdr:colOff>
      <xdr:row>3</xdr:row>
      <xdr:rowOff>74111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0" y="205619"/>
          <a:ext cx="2629889" cy="684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567971</xdr:colOff>
      <xdr:row>0</xdr:row>
      <xdr:rowOff>110772</xdr:rowOff>
    </xdr:from>
    <xdr:to>
      <xdr:col>38</xdr:col>
      <xdr:colOff>660400</xdr:colOff>
      <xdr:row>49</xdr:row>
      <xdr:rowOff>0</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0</xdr:colOff>
      <xdr:row>0</xdr:row>
      <xdr:rowOff>0</xdr:rowOff>
    </xdr:from>
    <xdr:to>
      <xdr:col>58</xdr:col>
      <xdr:colOff>92429</xdr:colOff>
      <xdr:row>49</xdr:row>
      <xdr:rowOff>0</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86783</xdr:colOff>
      <xdr:row>69</xdr:row>
      <xdr:rowOff>86782</xdr:rowOff>
    </xdr:from>
    <xdr:to>
      <xdr:col>7</xdr:col>
      <xdr:colOff>1299632</xdr:colOff>
      <xdr:row>112</xdr:row>
      <xdr:rowOff>84138</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0.81851</cdr:x>
      <cdr:y>0.94015</cdr:y>
    </cdr:from>
    <cdr:to>
      <cdr:x>0.98865</cdr:x>
      <cdr:y>0.97631</cdr:y>
    </cdr:to>
    <cdr:sp macro="" textlink="">
      <cdr:nvSpPr>
        <cdr:cNvPr id="2" name="Textfeld 1"/>
        <cdr:cNvSpPr txBox="1"/>
      </cdr:nvSpPr>
      <cdr:spPr>
        <a:xfrm xmlns:a="http://schemas.openxmlformats.org/drawingml/2006/main">
          <a:off x="9944580" y="7270907"/>
          <a:ext cx="2067145" cy="2796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CH" sz="1100"/>
            <a:t>unité</a:t>
          </a:r>
          <a:r>
            <a:rPr lang="de-CH" sz="1100" baseline="0"/>
            <a:t> de charge écologique</a:t>
          </a:r>
          <a:endParaRPr lang="de-CH"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254000</xdr:colOff>
      <xdr:row>51</xdr:row>
      <xdr:rowOff>54502</xdr:rowOff>
    </xdr:from>
    <xdr:to>
      <xdr:col>15</xdr:col>
      <xdr:colOff>275167</xdr:colOff>
      <xdr:row>106</xdr:row>
      <xdr:rowOff>137582</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567971</xdr:colOff>
      <xdr:row>0</xdr:row>
      <xdr:rowOff>110772</xdr:rowOff>
    </xdr:from>
    <xdr:to>
      <xdr:col>37</xdr:col>
      <xdr:colOff>660400</xdr:colOff>
      <xdr:row>50</xdr:row>
      <xdr:rowOff>0</xdr:rowOff>
    </xdr:to>
    <xdr:graphicFrame macro="">
      <xdr:nvGraphicFramePr>
        <xdr:cNvPr id="6" name="Diagramm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0</xdr:colOff>
      <xdr:row>0</xdr:row>
      <xdr:rowOff>0</xdr:rowOff>
    </xdr:from>
    <xdr:to>
      <xdr:col>57</xdr:col>
      <xdr:colOff>92429</xdr:colOff>
      <xdr:row>49</xdr:row>
      <xdr:rowOff>79728</xdr:rowOff>
    </xdr:to>
    <xdr:graphicFrame macro="">
      <xdr:nvGraphicFramePr>
        <xdr:cNvPr id="8" name="Diagram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xdr:colOff>
      <xdr:row>2</xdr:row>
      <xdr:rowOff>0</xdr:rowOff>
    </xdr:from>
    <xdr:to>
      <xdr:col>31</xdr:col>
      <xdr:colOff>127001</xdr:colOff>
      <xdr:row>39</xdr:row>
      <xdr:rowOff>152400</xdr:rowOff>
    </xdr:to>
    <xdr:graphicFrame macro="">
      <xdr:nvGraphicFramePr>
        <xdr:cNvPr id="5" name="Diagram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0</xdr:colOff>
      <xdr:row>2</xdr:row>
      <xdr:rowOff>0</xdr:rowOff>
    </xdr:from>
    <xdr:to>
      <xdr:col>44</xdr:col>
      <xdr:colOff>127000</xdr:colOff>
      <xdr:row>39</xdr:row>
      <xdr:rowOff>152400</xdr:rowOff>
    </xdr:to>
    <xdr:graphicFrame macro="">
      <xdr:nvGraphicFramePr>
        <xdr:cNvPr id="6" name="Diagram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114300</xdr:colOff>
      <xdr:row>65</xdr:row>
      <xdr:rowOff>96034</xdr:rowOff>
    </xdr:from>
    <xdr:to>
      <xdr:col>7</xdr:col>
      <xdr:colOff>438472</xdr:colOff>
      <xdr:row>66</xdr:row>
      <xdr:rowOff>1473200</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6100" y="29534634"/>
          <a:ext cx="5638800" cy="156766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hyperlink" Target="https://www.bfs.admin.ch/bfs/fr/home/statistiques/developpement-durable/autres-indicateurs-developpement-durable/empreinte-ecologique.html" TargetMode="External"/><Relationship Id="rId1" Type="http://schemas.openxmlformats.org/officeDocument/2006/relationships/hyperlink" Target="https://www.bafu.admin.ch/bafu/fr/home/themes/economie-consommation/publications-etudes/publications/empreintes-environnementales-de-la-suis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8"/>
  <sheetViews>
    <sheetView topLeftCell="A18" zoomScale="80" zoomScaleNormal="80" workbookViewId="0">
      <selection activeCell="C27" sqref="C27"/>
    </sheetView>
  </sheetViews>
  <sheetFormatPr baseColWidth="10" defaultColWidth="10.81640625" defaultRowHeight="14"/>
  <cols>
    <col min="1" max="1" width="21.81640625" style="2" customWidth="1"/>
    <col min="2" max="16384" width="10.81640625" style="2"/>
  </cols>
  <sheetData>
    <row r="3" spans="1:6" ht="35">
      <c r="F3" s="3" t="s">
        <v>4</v>
      </c>
    </row>
    <row r="4" spans="1:6" ht="17.5">
      <c r="F4" s="4" t="s">
        <v>179</v>
      </c>
    </row>
    <row r="7" spans="1:6">
      <c r="A7" s="2" t="s">
        <v>5</v>
      </c>
      <c r="B7" s="2" t="s">
        <v>699</v>
      </c>
    </row>
    <row r="8" spans="1:6">
      <c r="A8" s="2" t="s">
        <v>16</v>
      </c>
      <c r="B8" s="6" t="s">
        <v>698</v>
      </c>
    </row>
    <row r="10" spans="1:6">
      <c r="A10" s="2" t="s">
        <v>6</v>
      </c>
      <c r="B10" s="2" t="s">
        <v>14</v>
      </c>
    </row>
    <row r="11" spans="1:6">
      <c r="B11" s="5" t="s">
        <v>8</v>
      </c>
    </row>
    <row r="12" spans="1:6">
      <c r="B12" s="5" t="s">
        <v>11</v>
      </c>
    </row>
    <row r="13" spans="1:6">
      <c r="B13" s="5"/>
    </row>
    <row r="14" spans="1:6">
      <c r="A14" s="2" t="s">
        <v>7</v>
      </c>
      <c r="B14" s="2" t="s">
        <v>15</v>
      </c>
    </row>
    <row r="15" spans="1:6">
      <c r="B15" s="2" t="s">
        <v>10</v>
      </c>
    </row>
    <row r="16" spans="1:6">
      <c r="B16" s="5" t="s">
        <v>12</v>
      </c>
    </row>
    <row r="17" spans="1:2">
      <c r="B17" s="5" t="s">
        <v>13</v>
      </c>
    </row>
    <row r="18" spans="1:2">
      <c r="B18" s="5" t="s">
        <v>9</v>
      </c>
    </row>
    <row r="20" spans="1:2">
      <c r="A20" s="2" t="s">
        <v>17</v>
      </c>
      <c r="B20" s="2" t="s">
        <v>159</v>
      </c>
    </row>
    <row r="22" spans="1:2">
      <c r="B22" s="2" t="s">
        <v>20</v>
      </c>
    </row>
    <row r="23" spans="1:2">
      <c r="B23" s="2" t="s">
        <v>244</v>
      </c>
    </row>
    <row r="24" spans="1:2">
      <c r="A24" s="228" t="s">
        <v>720</v>
      </c>
      <c r="B24" s="228" t="s">
        <v>22</v>
      </c>
    </row>
    <row r="26" spans="1:2">
      <c r="B26" s="2" t="s">
        <v>21</v>
      </c>
    </row>
    <row r="27" spans="1:2">
      <c r="B27" s="2" t="s">
        <v>33</v>
      </c>
    </row>
    <row r="29" spans="1:2">
      <c r="B29" s="2" t="s">
        <v>35</v>
      </c>
    </row>
    <row r="30" spans="1:2">
      <c r="A30" s="228" t="s">
        <v>719</v>
      </c>
      <c r="B30" s="228" t="s">
        <v>36</v>
      </c>
    </row>
    <row r="31" spans="1:2">
      <c r="A31" s="228" t="s">
        <v>720</v>
      </c>
      <c r="B31" s="228" t="s">
        <v>73</v>
      </c>
    </row>
    <row r="33" spans="2:2">
      <c r="B33" s="2" t="s">
        <v>361</v>
      </c>
    </row>
    <row r="34" spans="2:2">
      <c r="B34" s="2" t="s">
        <v>362</v>
      </c>
    </row>
    <row r="35" spans="2:2">
      <c r="B35" s="2" t="s">
        <v>376</v>
      </c>
    </row>
    <row r="36" spans="2:2">
      <c r="B36" s="2" t="s">
        <v>398</v>
      </c>
    </row>
    <row r="37" spans="2:2">
      <c r="B37" s="2" t="s">
        <v>405</v>
      </c>
    </row>
    <row r="38" spans="2:2">
      <c r="B38" s="2" t="s">
        <v>451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05"/>
  <sheetViews>
    <sheetView tabSelected="1" topLeftCell="A70" zoomScale="50" zoomScaleNormal="50" workbookViewId="0">
      <selection activeCell="U72" sqref="U72:AE80"/>
    </sheetView>
  </sheetViews>
  <sheetFormatPr baseColWidth="10" defaultColWidth="10.6328125" defaultRowHeight="14.5"/>
  <cols>
    <col min="1" max="1" width="10.6328125" style="51"/>
    <col min="2" max="2" width="12" style="51" customWidth="1"/>
    <col min="3" max="3" width="43.1796875" style="79" customWidth="1"/>
    <col min="4" max="4" width="22.81640625" style="189" customWidth="1"/>
    <col min="5" max="5" width="29.453125" style="51" customWidth="1"/>
    <col min="6" max="6" width="20.1796875" style="51" customWidth="1"/>
    <col min="7" max="7" width="18.36328125" style="71" customWidth="1"/>
    <col min="8" max="8" width="19.453125" style="71" customWidth="1"/>
    <col min="9" max="9" width="12" style="134" customWidth="1"/>
    <col min="10" max="12" width="8.54296875" style="134" customWidth="1"/>
    <col min="13" max="16" width="8.54296875" style="51" customWidth="1"/>
    <col min="17" max="17" width="6.453125" style="51" customWidth="1"/>
    <col min="18" max="20" width="8.54296875" style="51" customWidth="1"/>
    <col min="21" max="21" width="17.1796875" style="51" customWidth="1"/>
    <col min="22" max="22" width="20.453125" style="51" customWidth="1"/>
    <col min="23" max="23" width="32.453125" style="51" customWidth="1"/>
    <col min="24" max="16384" width="10.6328125" style="51"/>
  </cols>
  <sheetData>
    <row r="1" spans="1:20" ht="23.5">
      <c r="B1" s="56" t="s">
        <v>718</v>
      </c>
      <c r="C1" s="57"/>
      <c r="D1" s="185"/>
      <c r="E1" s="58"/>
      <c r="F1" s="58"/>
      <c r="G1" s="87"/>
      <c r="H1" s="87"/>
      <c r="I1" s="290" t="s">
        <v>60</v>
      </c>
      <c r="J1" s="291"/>
      <c r="K1" s="291" t="s">
        <v>611</v>
      </c>
      <c r="L1" s="292"/>
    </row>
    <row r="2" spans="1:20" s="64" customFormat="1">
      <c r="A2" s="60" t="s">
        <v>644</v>
      </c>
      <c r="B2" s="60" t="s">
        <v>0</v>
      </c>
      <c r="C2" s="61" t="s">
        <v>147</v>
      </c>
      <c r="D2" s="186" t="s">
        <v>202</v>
      </c>
      <c r="E2" s="62" t="s">
        <v>60</v>
      </c>
      <c r="F2" s="63" t="s">
        <v>611</v>
      </c>
      <c r="G2" s="62" t="s">
        <v>60</v>
      </c>
      <c r="H2" s="118" t="s">
        <v>611</v>
      </c>
      <c r="I2" s="121" t="s">
        <v>563</v>
      </c>
      <c r="J2" s="122" t="s">
        <v>564</v>
      </c>
      <c r="K2" s="122" t="s">
        <v>563</v>
      </c>
      <c r="L2" s="123" t="s">
        <v>564</v>
      </c>
      <c r="M2" s="64" t="s">
        <v>613</v>
      </c>
      <c r="N2" s="64" t="s">
        <v>614</v>
      </c>
      <c r="O2" s="64" t="s">
        <v>594</v>
      </c>
      <c r="R2" s="64" t="s">
        <v>595</v>
      </c>
      <c r="S2" s="64" t="s">
        <v>594</v>
      </c>
    </row>
    <row r="3" spans="1:20" s="71" customFormat="1">
      <c r="A3" s="71" t="s">
        <v>642</v>
      </c>
      <c r="B3" s="65" t="s">
        <v>439</v>
      </c>
      <c r="C3" s="66" t="s">
        <v>166</v>
      </c>
      <c r="D3" s="190" t="s">
        <v>216</v>
      </c>
      <c r="E3" s="112" t="s">
        <v>535</v>
      </c>
      <c r="F3" s="229" t="s">
        <v>491</v>
      </c>
      <c r="G3" s="69">
        <v>3.19302E-3</v>
      </c>
      <c r="H3" s="119">
        <v>4.5681808878244601</v>
      </c>
      <c r="I3" s="124">
        <v>1.59651E-3</v>
      </c>
      <c r="J3" s="125">
        <v>4.7895300000000002E-3</v>
      </c>
      <c r="K3" s="126">
        <v>2.28409044391223</v>
      </c>
      <c r="L3" s="127">
        <v>6.8522713317366897</v>
      </c>
      <c r="M3" s="160">
        <f t="shared" ref="M3:M18" si="0">L3-H3</f>
        <v>2.2840904439122296</v>
      </c>
      <c r="N3" s="160">
        <f t="shared" ref="N3:N18" si="1">H3-K3</f>
        <v>2.28409044391223</v>
      </c>
      <c r="O3" s="159">
        <f t="shared" ref="O3:O18" si="2">J3-G3</f>
        <v>1.5965100000000002E-3</v>
      </c>
      <c r="P3" s="159">
        <f t="shared" ref="P3:P18" si="3">G3-I3</f>
        <v>1.59651E-3</v>
      </c>
      <c r="R3" s="161">
        <f t="shared" ref="R3:R18" si="4">G3*1000</f>
        <v>3.1930200000000002</v>
      </c>
      <c r="S3" s="161">
        <f t="shared" ref="S3:S18" si="5">O3*1000</f>
        <v>1.5965100000000001</v>
      </c>
      <c r="T3" s="161">
        <f t="shared" ref="T3:T18" si="6">P3*1000</f>
        <v>1.5965100000000001</v>
      </c>
    </row>
    <row r="4" spans="1:20" s="71" customFormat="1">
      <c r="A4" s="71" t="s">
        <v>642</v>
      </c>
      <c r="B4" s="65" t="s">
        <v>439</v>
      </c>
      <c r="C4" s="66" t="s">
        <v>45</v>
      </c>
      <c r="D4" s="187" t="s">
        <v>200</v>
      </c>
      <c r="E4" s="112" t="s">
        <v>547</v>
      </c>
      <c r="F4" s="229" t="s">
        <v>474</v>
      </c>
      <c r="G4" s="69">
        <v>8.1682391000000003E-3</v>
      </c>
      <c r="H4" s="119">
        <v>10.499639063324402</v>
      </c>
      <c r="I4" s="124">
        <v>4.0841195500000002E-3</v>
      </c>
      <c r="J4" s="125">
        <v>1.6336478200000001E-2</v>
      </c>
      <c r="K4" s="126">
        <v>5.2498195316622009</v>
      </c>
      <c r="L4" s="127">
        <v>20.999278126648804</v>
      </c>
      <c r="M4" s="160">
        <f t="shared" si="0"/>
        <v>10.499639063324402</v>
      </c>
      <c r="N4" s="160">
        <f t="shared" si="1"/>
        <v>5.2498195316622009</v>
      </c>
      <c r="O4" s="159">
        <f t="shared" si="2"/>
        <v>8.1682391000000003E-3</v>
      </c>
      <c r="P4" s="159">
        <f t="shared" si="3"/>
        <v>4.0841195500000002E-3</v>
      </c>
      <c r="R4" s="161">
        <f t="shared" si="4"/>
        <v>8.168239100000001</v>
      </c>
      <c r="S4" s="161">
        <f t="shared" si="5"/>
        <v>8.168239100000001</v>
      </c>
      <c r="T4" s="161">
        <f t="shared" si="6"/>
        <v>4.0841195500000005</v>
      </c>
    </row>
    <row r="5" spans="1:20" s="71" customFormat="1">
      <c r="A5" s="71" t="s">
        <v>642</v>
      </c>
      <c r="B5" s="65" t="s">
        <v>439</v>
      </c>
      <c r="C5" s="66" t="s">
        <v>189</v>
      </c>
      <c r="D5" s="191" t="s">
        <v>199</v>
      </c>
      <c r="E5" s="112" t="s">
        <v>523</v>
      </c>
      <c r="F5" s="229" t="s">
        <v>480</v>
      </c>
      <c r="G5" s="69">
        <v>6.8896838E-3</v>
      </c>
      <c r="H5" s="119">
        <v>12.5922359177478</v>
      </c>
      <c r="I5" s="124">
        <v>4.8227786600000006E-3</v>
      </c>
      <c r="J5" s="125">
        <v>8.9565889399999994E-3</v>
      </c>
      <c r="K5" s="126">
        <v>8.8145651424234597</v>
      </c>
      <c r="L5" s="127">
        <v>16.369906693072139</v>
      </c>
      <c r="M5" s="160">
        <f t="shared" si="0"/>
        <v>3.7776707753243386</v>
      </c>
      <c r="N5" s="160">
        <f t="shared" si="1"/>
        <v>3.7776707753243404</v>
      </c>
      <c r="O5" s="159">
        <f t="shared" si="2"/>
        <v>2.0669051399999994E-3</v>
      </c>
      <c r="P5" s="159">
        <f t="shared" si="3"/>
        <v>2.0669051399999994E-3</v>
      </c>
      <c r="R5" s="161">
        <f t="shared" si="4"/>
        <v>6.8896838000000002</v>
      </c>
      <c r="S5" s="161">
        <f t="shared" si="5"/>
        <v>2.0669051399999994</v>
      </c>
      <c r="T5" s="161">
        <f t="shared" si="6"/>
        <v>2.0669051399999994</v>
      </c>
    </row>
    <row r="6" spans="1:20" s="71" customFormat="1">
      <c r="A6" s="71" t="s">
        <v>642</v>
      </c>
      <c r="B6" s="65" t="s">
        <v>439</v>
      </c>
      <c r="C6" s="66" t="s">
        <v>251</v>
      </c>
      <c r="D6" s="191" t="s">
        <v>199</v>
      </c>
      <c r="E6" s="112" t="s">
        <v>524</v>
      </c>
      <c r="F6" s="229" t="s">
        <v>475</v>
      </c>
      <c r="G6" s="69">
        <v>1.5912835E-2</v>
      </c>
      <c r="H6" s="119">
        <v>29.893633547256087</v>
      </c>
      <c r="I6" s="124">
        <v>1.1138984500000001E-2</v>
      </c>
      <c r="J6" s="125">
        <v>2.06866855E-2</v>
      </c>
      <c r="K6" s="126">
        <v>20.925543483079259</v>
      </c>
      <c r="L6" s="127">
        <v>38.861723611432915</v>
      </c>
      <c r="M6" s="160">
        <f t="shared" si="0"/>
        <v>8.9680900641768275</v>
      </c>
      <c r="N6" s="160">
        <f t="shared" si="1"/>
        <v>8.9680900641768275</v>
      </c>
      <c r="O6" s="159">
        <f t="shared" si="2"/>
        <v>4.7738504999999994E-3</v>
      </c>
      <c r="P6" s="159">
        <f t="shared" si="3"/>
        <v>4.7738504999999994E-3</v>
      </c>
      <c r="R6" s="161">
        <f t="shared" si="4"/>
        <v>15.912834999999999</v>
      </c>
      <c r="S6" s="161">
        <f t="shared" si="5"/>
        <v>4.7738504999999991</v>
      </c>
      <c r="T6" s="161">
        <f t="shared" si="6"/>
        <v>4.7738504999999991</v>
      </c>
    </row>
    <row r="7" spans="1:20" s="71" customFormat="1">
      <c r="A7" s="71" t="s">
        <v>642</v>
      </c>
      <c r="B7" s="65" t="s">
        <v>439</v>
      </c>
      <c r="C7" s="66" t="s">
        <v>163</v>
      </c>
      <c r="D7" s="190" t="s">
        <v>260</v>
      </c>
      <c r="E7" s="112" t="s">
        <v>537</v>
      </c>
      <c r="F7" s="229" t="s">
        <v>493</v>
      </c>
      <c r="G7" s="69">
        <v>3.7867954000000002E-2</v>
      </c>
      <c r="H7" s="119">
        <v>58.936062782308689</v>
      </c>
      <c r="I7" s="124">
        <v>1.8933977000000001E-2</v>
      </c>
      <c r="J7" s="125">
        <v>5.6801931E-2</v>
      </c>
      <c r="K7" s="126">
        <v>29.468031391154344</v>
      </c>
      <c r="L7" s="127">
        <v>88.404094173463037</v>
      </c>
      <c r="M7" s="160">
        <f t="shared" si="0"/>
        <v>29.468031391154348</v>
      </c>
      <c r="N7" s="160">
        <f t="shared" si="1"/>
        <v>29.468031391154344</v>
      </c>
      <c r="O7" s="159">
        <f t="shared" si="2"/>
        <v>1.8933976999999998E-2</v>
      </c>
      <c r="P7" s="159">
        <f t="shared" si="3"/>
        <v>1.8933977000000001E-2</v>
      </c>
      <c r="R7" s="161">
        <f t="shared" si="4"/>
        <v>37.867954000000005</v>
      </c>
      <c r="S7" s="161">
        <f t="shared" si="5"/>
        <v>18.933976999999999</v>
      </c>
      <c r="T7" s="161">
        <f t="shared" si="6"/>
        <v>18.933977000000002</v>
      </c>
    </row>
    <row r="8" spans="1:20" s="71" customFormat="1">
      <c r="A8" s="71" t="s">
        <v>642</v>
      </c>
      <c r="B8" s="65" t="s">
        <v>439</v>
      </c>
      <c r="C8" s="66" t="s">
        <v>344</v>
      </c>
      <c r="D8" s="190" t="s">
        <v>216</v>
      </c>
      <c r="E8" s="112" t="s">
        <v>536</v>
      </c>
      <c r="F8" s="229" t="s">
        <v>492</v>
      </c>
      <c r="G8" s="69">
        <v>4.7456012999999998E-2</v>
      </c>
      <c r="H8" s="119">
        <v>65.504203731589712</v>
      </c>
      <c r="I8" s="124">
        <v>2.3728006499999999E-2</v>
      </c>
      <c r="J8" s="125">
        <v>7.1184019500000001E-2</v>
      </c>
      <c r="K8" s="126">
        <v>32.752101865794856</v>
      </c>
      <c r="L8" s="127">
        <v>98.256305597384568</v>
      </c>
      <c r="M8" s="160">
        <f t="shared" si="0"/>
        <v>32.752101865794856</v>
      </c>
      <c r="N8" s="160">
        <f t="shared" si="1"/>
        <v>32.752101865794856</v>
      </c>
      <c r="O8" s="159">
        <f t="shared" si="2"/>
        <v>2.3728006500000003E-2</v>
      </c>
      <c r="P8" s="159">
        <f t="shared" si="3"/>
        <v>2.3728006499999999E-2</v>
      </c>
      <c r="R8" s="161">
        <f t="shared" si="4"/>
        <v>47.456012999999999</v>
      </c>
      <c r="S8" s="161">
        <f t="shared" si="5"/>
        <v>23.728006500000003</v>
      </c>
      <c r="T8" s="161">
        <f t="shared" si="6"/>
        <v>23.728006499999999</v>
      </c>
    </row>
    <row r="9" spans="1:20" s="71" customFormat="1">
      <c r="A9" s="71" t="s">
        <v>642</v>
      </c>
      <c r="B9" s="65" t="s">
        <v>439</v>
      </c>
      <c r="C9" s="66" t="s">
        <v>162</v>
      </c>
      <c r="D9" s="187" t="s">
        <v>309</v>
      </c>
      <c r="E9" s="112" t="s">
        <v>561</v>
      </c>
      <c r="F9" s="229" t="s">
        <v>518</v>
      </c>
      <c r="G9" s="69">
        <v>2.109</v>
      </c>
      <c r="H9" s="119">
        <v>2385.129922564201</v>
      </c>
      <c r="I9" s="124">
        <v>0.52725</v>
      </c>
      <c r="J9" s="125">
        <v>8.4359999999999999</v>
      </c>
      <c r="K9" s="126">
        <v>596.28248064105026</v>
      </c>
      <c r="L9" s="127">
        <v>9540.5196902568041</v>
      </c>
      <c r="M9" s="160">
        <f t="shared" si="0"/>
        <v>7155.3897676926026</v>
      </c>
      <c r="N9" s="160">
        <f t="shared" si="1"/>
        <v>1788.8474419231507</v>
      </c>
      <c r="O9" s="159">
        <f t="shared" si="2"/>
        <v>6.327</v>
      </c>
      <c r="P9" s="159">
        <f t="shared" si="3"/>
        <v>1.58175</v>
      </c>
      <c r="R9" s="161">
        <f t="shared" si="4"/>
        <v>2109</v>
      </c>
      <c r="S9" s="161">
        <f t="shared" si="5"/>
        <v>6327</v>
      </c>
      <c r="T9" s="161">
        <f t="shared" si="6"/>
        <v>1581.75</v>
      </c>
    </row>
    <row r="10" spans="1:20" s="71" customFormat="1">
      <c r="A10" s="71" t="s">
        <v>642</v>
      </c>
      <c r="B10" s="65" t="s">
        <v>439</v>
      </c>
      <c r="C10" s="66" t="s">
        <v>161</v>
      </c>
      <c r="D10" s="187" t="s">
        <v>309</v>
      </c>
      <c r="E10" s="112" t="s">
        <v>562</v>
      </c>
      <c r="F10" s="229" t="s">
        <v>517</v>
      </c>
      <c r="G10" s="69">
        <v>2.75</v>
      </c>
      <c r="H10" s="119">
        <v>3101.5891657669667</v>
      </c>
      <c r="I10" s="124">
        <v>0.6875</v>
      </c>
      <c r="J10" s="125">
        <v>11</v>
      </c>
      <c r="K10" s="126">
        <v>775.39729144174169</v>
      </c>
      <c r="L10" s="127">
        <v>12406.356663067867</v>
      </c>
      <c r="M10" s="160">
        <f t="shared" si="0"/>
        <v>9304.7674973008998</v>
      </c>
      <c r="N10" s="160">
        <f t="shared" si="1"/>
        <v>2326.1918743252249</v>
      </c>
      <c r="O10" s="159">
        <f t="shared" si="2"/>
        <v>8.25</v>
      </c>
      <c r="P10" s="159">
        <f t="shared" si="3"/>
        <v>2.0625</v>
      </c>
      <c r="R10" s="161">
        <f t="shared" si="4"/>
        <v>2750</v>
      </c>
      <c r="S10" s="161">
        <f t="shared" si="5"/>
        <v>8250</v>
      </c>
      <c r="T10" s="161">
        <f t="shared" si="6"/>
        <v>2062.5</v>
      </c>
    </row>
    <row r="11" spans="1:20" s="71" customFormat="1">
      <c r="A11" s="71" t="s">
        <v>642</v>
      </c>
      <c r="B11" s="65" t="s">
        <v>439</v>
      </c>
      <c r="C11" s="66" t="s">
        <v>46</v>
      </c>
      <c r="D11" s="187" t="s">
        <v>200</v>
      </c>
      <c r="E11" s="112" t="s">
        <v>548</v>
      </c>
      <c r="F11" s="229" t="s">
        <v>505</v>
      </c>
      <c r="G11" s="69">
        <v>5.6204077000000003</v>
      </c>
      <c r="H11" s="119">
        <v>7626.3133806981032</v>
      </c>
      <c r="I11" s="124">
        <v>2.8102038500000002</v>
      </c>
      <c r="J11" s="125">
        <v>11.240815400000001</v>
      </c>
      <c r="K11" s="126">
        <v>3813.1566903490516</v>
      </c>
      <c r="L11" s="127">
        <v>15252.626761396206</v>
      </c>
      <c r="M11" s="160">
        <f t="shared" si="0"/>
        <v>7626.3133806981032</v>
      </c>
      <c r="N11" s="160">
        <f t="shared" si="1"/>
        <v>3813.1566903490516</v>
      </c>
      <c r="O11" s="159">
        <f t="shared" si="2"/>
        <v>5.6204077000000003</v>
      </c>
      <c r="P11" s="159">
        <f t="shared" si="3"/>
        <v>2.8102038500000002</v>
      </c>
      <c r="R11" s="161">
        <f t="shared" si="4"/>
        <v>5620.4077000000007</v>
      </c>
      <c r="S11" s="161">
        <f t="shared" si="5"/>
        <v>5620.4077000000007</v>
      </c>
      <c r="T11" s="161">
        <f t="shared" si="6"/>
        <v>2810.2038500000003</v>
      </c>
    </row>
    <row r="12" spans="1:20" s="71" customFormat="1">
      <c r="A12" s="71" t="s">
        <v>642</v>
      </c>
      <c r="B12" s="65" t="s">
        <v>439</v>
      </c>
      <c r="C12" s="66" t="s">
        <v>54</v>
      </c>
      <c r="D12" s="187" t="s">
        <v>200</v>
      </c>
      <c r="E12" s="112" t="s">
        <v>548</v>
      </c>
      <c r="F12" s="229" t="s">
        <v>505</v>
      </c>
      <c r="G12" s="69">
        <v>5.6809501999999998</v>
      </c>
      <c r="H12" s="119">
        <v>7694.5904610586485</v>
      </c>
      <c r="I12" s="124">
        <v>2.8404750999999999</v>
      </c>
      <c r="J12" s="125">
        <v>11.3619004</v>
      </c>
      <c r="K12" s="126">
        <v>3847.2952305293243</v>
      </c>
      <c r="L12" s="127">
        <v>15389.180922117297</v>
      </c>
      <c r="M12" s="160">
        <f t="shared" si="0"/>
        <v>7694.5904610586485</v>
      </c>
      <c r="N12" s="160">
        <f t="shared" si="1"/>
        <v>3847.2952305293243</v>
      </c>
      <c r="O12" s="159">
        <f t="shared" si="2"/>
        <v>5.6809501999999998</v>
      </c>
      <c r="P12" s="159">
        <f t="shared" si="3"/>
        <v>2.8404750999999999</v>
      </c>
      <c r="R12" s="161">
        <f t="shared" si="4"/>
        <v>5680.9502000000002</v>
      </c>
      <c r="S12" s="161">
        <f t="shared" si="5"/>
        <v>5680.9502000000002</v>
      </c>
      <c r="T12" s="161">
        <f t="shared" si="6"/>
        <v>2840.4751000000001</v>
      </c>
    </row>
    <row r="13" spans="1:20" s="71" customFormat="1">
      <c r="A13" s="71" t="s">
        <v>642</v>
      </c>
      <c r="B13" s="65" t="s">
        <v>437</v>
      </c>
      <c r="C13" s="66" t="s">
        <v>171</v>
      </c>
      <c r="D13" s="191" t="s">
        <v>199</v>
      </c>
      <c r="E13" s="112" t="s">
        <v>526</v>
      </c>
      <c r="F13" s="229" t="s">
        <v>481</v>
      </c>
      <c r="G13" s="69">
        <v>1.2074647999999999E-3</v>
      </c>
      <c r="H13" s="119">
        <v>1.2354844729472301</v>
      </c>
      <c r="I13" s="124">
        <v>8.4522535999999998E-4</v>
      </c>
      <c r="J13" s="125">
        <v>1.5697042399999998E-3</v>
      </c>
      <c r="K13" s="128">
        <v>0.86483913106306098</v>
      </c>
      <c r="L13" s="129">
        <v>1.6061298148313992</v>
      </c>
      <c r="M13" s="160">
        <f t="shared" si="0"/>
        <v>0.37064534188416909</v>
      </c>
      <c r="N13" s="160">
        <f t="shared" si="1"/>
        <v>0.37064534188416909</v>
      </c>
      <c r="O13" s="159">
        <f t="shared" si="2"/>
        <v>3.6223943999999985E-4</v>
      </c>
      <c r="P13" s="159">
        <f t="shared" si="3"/>
        <v>3.6223943999999996E-4</v>
      </c>
      <c r="R13" s="161">
        <f t="shared" si="4"/>
        <v>1.2074647999999999</v>
      </c>
      <c r="S13" s="161">
        <f t="shared" si="5"/>
        <v>0.36223943999999986</v>
      </c>
      <c r="T13" s="161">
        <f t="shared" si="6"/>
        <v>0.36223943999999997</v>
      </c>
    </row>
    <row r="14" spans="1:20" s="71" customFormat="1">
      <c r="A14" s="71" t="s">
        <v>642</v>
      </c>
      <c r="B14" s="89" t="s">
        <v>437</v>
      </c>
      <c r="C14" s="84" t="s">
        <v>111</v>
      </c>
      <c r="D14" s="196" t="s">
        <v>266</v>
      </c>
      <c r="E14" s="114" t="s">
        <v>520</v>
      </c>
      <c r="F14" s="230" t="s">
        <v>478</v>
      </c>
      <c r="G14" s="69">
        <v>8.6937461999999997E-3</v>
      </c>
      <c r="H14" s="119">
        <v>8.8954881776451415</v>
      </c>
      <c r="I14" s="124">
        <v>7.8243715799999995E-3</v>
      </c>
      <c r="J14" s="125">
        <v>9.5631208199999998E-3</v>
      </c>
      <c r="K14" s="126">
        <v>8.0059393598806281</v>
      </c>
      <c r="L14" s="127">
        <v>9.785036995409655</v>
      </c>
      <c r="M14" s="160">
        <f t="shared" si="0"/>
        <v>0.88954881776451344</v>
      </c>
      <c r="N14" s="160">
        <f t="shared" si="1"/>
        <v>0.88954881776451344</v>
      </c>
      <c r="O14" s="159">
        <f t="shared" si="2"/>
        <v>8.6937462000000014E-4</v>
      </c>
      <c r="P14" s="159">
        <f t="shared" si="3"/>
        <v>8.6937462000000014E-4</v>
      </c>
      <c r="R14" s="161">
        <f t="shared" si="4"/>
        <v>8.6937461999999996</v>
      </c>
      <c r="S14" s="161">
        <f t="shared" si="5"/>
        <v>0.8693746200000001</v>
      </c>
      <c r="T14" s="161">
        <f t="shared" si="6"/>
        <v>0.8693746200000001</v>
      </c>
    </row>
    <row r="15" spans="1:20" s="71" customFormat="1">
      <c r="A15" s="71" t="s">
        <v>642</v>
      </c>
      <c r="B15" s="65" t="s">
        <v>437</v>
      </c>
      <c r="C15" s="66" t="s">
        <v>170</v>
      </c>
      <c r="D15" s="187" t="s">
        <v>200</v>
      </c>
      <c r="E15" s="112" t="s">
        <v>550</v>
      </c>
      <c r="F15" s="229" t="s">
        <v>507</v>
      </c>
      <c r="G15" s="69">
        <v>2.3422274999999999E-2</v>
      </c>
      <c r="H15" s="119">
        <v>23.447429895265422</v>
      </c>
      <c r="I15" s="124">
        <v>1.17111375E-2</v>
      </c>
      <c r="J15" s="125">
        <v>4.6844549999999999E-2</v>
      </c>
      <c r="K15" s="126">
        <v>11.723714947632711</v>
      </c>
      <c r="L15" s="127">
        <v>46.894859790530845</v>
      </c>
      <c r="M15" s="160">
        <f t="shared" si="0"/>
        <v>23.447429895265422</v>
      </c>
      <c r="N15" s="160">
        <f t="shared" si="1"/>
        <v>11.723714947632711</v>
      </c>
      <c r="O15" s="159">
        <f t="shared" si="2"/>
        <v>2.3422274999999999E-2</v>
      </c>
      <c r="P15" s="159">
        <f t="shared" si="3"/>
        <v>1.17111375E-2</v>
      </c>
      <c r="R15" s="161">
        <f t="shared" si="4"/>
        <v>23.422274999999999</v>
      </c>
      <c r="S15" s="161">
        <f t="shared" si="5"/>
        <v>23.422274999999999</v>
      </c>
      <c r="T15" s="161">
        <f t="shared" si="6"/>
        <v>11.7111375</v>
      </c>
    </row>
    <row r="16" spans="1:20" s="71" customFormat="1">
      <c r="A16" s="71" t="s">
        <v>642</v>
      </c>
      <c r="B16" s="65" t="s">
        <v>437</v>
      </c>
      <c r="C16" s="66" t="s">
        <v>192</v>
      </c>
      <c r="D16" s="187" t="s">
        <v>200</v>
      </c>
      <c r="E16" s="112" t="s">
        <v>549</v>
      </c>
      <c r="F16" s="229" t="s">
        <v>506</v>
      </c>
      <c r="G16" s="69">
        <v>8.7977629000000002E-2</v>
      </c>
      <c r="H16" s="119">
        <v>88.23941135717611</v>
      </c>
      <c r="I16" s="124">
        <v>4.3988814500000001E-2</v>
      </c>
      <c r="J16" s="125">
        <v>0.175955258</v>
      </c>
      <c r="K16" s="126">
        <v>44.119705678588055</v>
      </c>
      <c r="L16" s="127">
        <v>176.47882271435222</v>
      </c>
      <c r="M16" s="160">
        <f t="shared" si="0"/>
        <v>88.23941135717611</v>
      </c>
      <c r="N16" s="160">
        <f t="shared" si="1"/>
        <v>44.119705678588055</v>
      </c>
      <c r="O16" s="159">
        <f t="shared" si="2"/>
        <v>8.7977629000000002E-2</v>
      </c>
      <c r="P16" s="159">
        <f t="shared" si="3"/>
        <v>4.3988814500000001E-2</v>
      </c>
      <c r="R16" s="161">
        <f t="shared" si="4"/>
        <v>87.977629000000007</v>
      </c>
      <c r="S16" s="161">
        <f t="shared" si="5"/>
        <v>87.977629000000007</v>
      </c>
      <c r="T16" s="161">
        <f t="shared" si="6"/>
        <v>43.988814500000004</v>
      </c>
    </row>
    <row r="17" spans="1:20" s="71" customFormat="1">
      <c r="A17" s="71" t="s">
        <v>642</v>
      </c>
      <c r="B17" s="65" t="s">
        <v>437</v>
      </c>
      <c r="C17" s="66" t="s">
        <v>187</v>
      </c>
      <c r="D17" s="191" t="s">
        <v>199</v>
      </c>
      <c r="E17" s="112" t="s">
        <v>525</v>
      </c>
      <c r="F17" s="229" t="s">
        <v>487</v>
      </c>
      <c r="G17" s="69">
        <v>5.8967672999999998E-2</v>
      </c>
      <c r="H17" s="119">
        <v>88.318696496570112</v>
      </c>
      <c r="I17" s="124">
        <v>4.1277371100000002E-2</v>
      </c>
      <c r="J17" s="125">
        <v>7.6657974899999995E-2</v>
      </c>
      <c r="K17" s="126">
        <v>61.82308754759908</v>
      </c>
      <c r="L17" s="127">
        <v>114.81430544554115</v>
      </c>
      <c r="M17" s="160">
        <f t="shared" si="0"/>
        <v>26.495608948971039</v>
      </c>
      <c r="N17" s="160">
        <f t="shared" si="1"/>
        <v>26.495608948971032</v>
      </c>
      <c r="O17" s="159">
        <f t="shared" si="2"/>
        <v>1.7690301899999997E-2</v>
      </c>
      <c r="P17" s="159">
        <f t="shared" si="3"/>
        <v>1.7690301899999997E-2</v>
      </c>
      <c r="R17" s="161">
        <f t="shared" si="4"/>
        <v>58.967672999999998</v>
      </c>
      <c r="S17" s="161">
        <f t="shared" si="5"/>
        <v>17.690301899999998</v>
      </c>
      <c r="T17" s="161">
        <f t="shared" si="6"/>
        <v>17.690301899999998</v>
      </c>
    </row>
    <row r="18" spans="1:20" s="71" customFormat="1">
      <c r="A18" s="71" t="s">
        <v>642</v>
      </c>
      <c r="B18" s="65" t="s">
        <v>437</v>
      </c>
      <c r="C18" s="66" t="s">
        <v>252</v>
      </c>
      <c r="D18" s="187" t="s">
        <v>217</v>
      </c>
      <c r="E18" s="112" t="s">
        <v>533</v>
      </c>
      <c r="F18" s="229" t="s">
        <v>485</v>
      </c>
      <c r="G18" s="69">
        <v>8.2431844000000004E-2</v>
      </c>
      <c r="H18" s="119">
        <v>115.08819806215908</v>
      </c>
      <c r="I18" s="124">
        <v>4.9459106400000001E-2</v>
      </c>
      <c r="J18" s="125">
        <v>0.1154045816</v>
      </c>
      <c r="K18" s="126">
        <v>69.052918837295437</v>
      </c>
      <c r="L18" s="127">
        <v>161.12347728702272</v>
      </c>
      <c r="M18" s="160">
        <f t="shared" si="0"/>
        <v>46.035279224863643</v>
      </c>
      <c r="N18" s="160">
        <f t="shared" si="1"/>
        <v>46.035279224863643</v>
      </c>
      <c r="O18" s="159">
        <f t="shared" si="2"/>
        <v>3.2972737599999996E-2</v>
      </c>
      <c r="P18" s="159">
        <f t="shared" si="3"/>
        <v>3.2972737600000003E-2</v>
      </c>
      <c r="R18" s="161">
        <f t="shared" si="4"/>
        <v>82.431843999999998</v>
      </c>
      <c r="S18" s="161">
        <f t="shared" si="5"/>
        <v>32.972737599999995</v>
      </c>
      <c r="T18" s="161">
        <f t="shared" si="6"/>
        <v>32.972737600000002</v>
      </c>
    </row>
    <row r="19" spans="1:20" s="244" customFormat="1">
      <c r="A19" s="233" t="s">
        <v>643</v>
      </c>
      <c r="B19" s="234" t="s">
        <v>437</v>
      </c>
      <c r="C19" s="235" t="s">
        <v>399</v>
      </c>
      <c r="D19" s="236">
        <v>2</v>
      </c>
      <c r="E19" s="237" t="s">
        <v>570</v>
      </c>
      <c r="F19" s="238" t="s">
        <v>583</v>
      </c>
      <c r="G19" s="239">
        <v>2.3910058E-4</v>
      </c>
      <c r="H19" s="240">
        <v>0.33099667958134404</v>
      </c>
      <c r="I19" s="241"/>
      <c r="J19" s="242"/>
      <c r="K19" s="242"/>
      <c r="L19" s="243"/>
    </row>
    <row r="20" spans="1:20" s="244" customFormat="1">
      <c r="A20" s="233" t="s">
        <v>643</v>
      </c>
      <c r="B20" s="234" t="s">
        <v>437</v>
      </c>
      <c r="C20" s="235" t="s">
        <v>387</v>
      </c>
      <c r="D20" s="236">
        <v>2</v>
      </c>
      <c r="E20" s="237" t="s">
        <v>569</v>
      </c>
      <c r="F20" s="238" t="s">
        <v>582</v>
      </c>
      <c r="G20" s="245">
        <v>9.2205654000000001E-3</v>
      </c>
      <c r="H20" s="246">
        <v>11.977133861136949</v>
      </c>
      <c r="I20" s="241"/>
      <c r="J20" s="242"/>
      <c r="K20" s="242"/>
      <c r="L20" s="243"/>
    </row>
    <row r="21" spans="1:20" s="244" customFormat="1">
      <c r="A21" s="233" t="s">
        <v>643</v>
      </c>
      <c r="B21" s="234" t="s">
        <v>437</v>
      </c>
      <c r="C21" s="235" t="s">
        <v>389</v>
      </c>
      <c r="D21" s="236">
        <v>2</v>
      </c>
      <c r="E21" s="237" t="s">
        <v>568</v>
      </c>
      <c r="F21" s="238" t="s">
        <v>581</v>
      </c>
      <c r="G21" s="245">
        <v>1.3372922000000001E-2</v>
      </c>
      <c r="H21" s="246">
        <v>13.465215331960669</v>
      </c>
      <c r="I21" s="241"/>
      <c r="J21" s="242"/>
      <c r="K21" s="242"/>
      <c r="L21" s="243"/>
    </row>
    <row r="22" spans="1:20" s="244" customFormat="1">
      <c r="A22" s="233" t="s">
        <v>643</v>
      </c>
      <c r="B22" s="234" t="s">
        <v>437</v>
      </c>
      <c r="C22" s="235" t="s">
        <v>388</v>
      </c>
      <c r="D22" s="247">
        <v>0.5</v>
      </c>
      <c r="E22" s="237" t="s">
        <v>565</v>
      </c>
      <c r="F22" s="238" t="s">
        <v>578</v>
      </c>
      <c r="G22" s="245">
        <v>1.1167678E-2</v>
      </c>
      <c r="H22" s="246">
        <v>13.93633574224204</v>
      </c>
      <c r="I22" s="241"/>
      <c r="J22" s="242"/>
      <c r="K22" s="242"/>
      <c r="L22" s="243"/>
    </row>
    <row r="23" spans="1:20" s="244" customFormat="1">
      <c r="A23" s="233" t="s">
        <v>643</v>
      </c>
      <c r="B23" s="234" t="s">
        <v>437</v>
      </c>
      <c r="C23" s="235" t="s">
        <v>447</v>
      </c>
      <c r="D23" s="236">
        <v>2</v>
      </c>
      <c r="E23" s="237" t="s">
        <v>571</v>
      </c>
      <c r="F23" s="238" t="s">
        <v>584</v>
      </c>
      <c r="G23" s="245">
        <v>1.2499263E-2</v>
      </c>
      <c r="H23" s="246">
        <v>15.2718451462299</v>
      </c>
      <c r="I23" s="241"/>
      <c r="J23" s="242"/>
      <c r="K23" s="242"/>
      <c r="L23" s="243"/>
    </row>
    <row r="24" spans="1:20" s="244" customFormat="1">
      <c r="A24" s="233" t="s">
        <v>643</v>
      </c>
      <c r="B24" s="234" t="s">
        <v>437</v>
      </c>
      <c r="C24" s="235" t="s">
        <v>168</v>
      </c>
      <c r="D24" s="236">
        <v>4</v>
      </c>
      <c r="E24" s="237" t="s">
        <v>575</v>
      </c>
      <c r="F24" s="238" t="s">
        <v>588</v>
      </c>
      <c r="G24" s="245">
        <v>2.9473590000000001E-2</v>
      </c>
      <c r="H24" s="246">
        <v>29.744354649810532</v>
      </c>
      <c r="I24" s="241"/>
      <c r="J24" s="242"/>
      <c r="K24" s="242"/>
      <c r="L24" s="243"/>
    </row>
    <row r="25" spans="1:20" s="244" customFormat="1">
      <c r="A25" s="233" t="s">
        <v>643</v>
      </c>
      <c r="B25" s="234" t="s">
        <v>437</v>
      </c>
      <c r="C25" s="235" t="s">
        <v>169</v>
      </c>
      <c r="D25" s="236">
        <v>4</v>
      </c>
      <c r="E25" s="237" t="s">
        <v>576</v>
      </c>
      <c r="F25" s="238" t="s">
        <v>589</v>
      </c>
      <c r="G25" s="245">
        <v>5.3944858999999998E-2</v>
      </c>
      <c r="H25" s="246">
        <v>63.609473438008408</v>
      </c>
      <c r="I25" s="241"/>
      <c r="J25" s="242"/>
      <c r="K25" s="242"/>
      <c r="L25" s="243"/>
    </row>
    <row r="26" spans="1:20" s="244" customFormat="1">
      <c r="A26" s="233" t="s">
        <v>643</v>
      </c>
      <c r="B26" s="234" t="s">
        <v>437</v>
      </c>
      <c r="C26" s="235" t="s">
        <v>167</v>
      </c>
      <c r="D26" s="236">
        <v>4</v>
      </c>
      <c r="E26" s="237" t="s">
        <v>574</v>
      </c>
      <c r="F26" s="238" t="s">
        <v>587</v>
      </c>
      <c r="G26" s="245">
        <v>0.29274176000000002</v>
      </c>
      <c r="H26" s="246">
        <v>292.97211279539545</v>
      </c>
      <c r="I26" s="241"/>
      <c r="J26" s="242"/>
      <c r="K26" s="242"/>
      <c r="L26" s="243"/>
    </row>
    <row r="27" spans="1:20" s="86" customFormat="1">
      <c r="A27" s="71" t="s">
        <v>642</v>
      </c>
      <c r="B27" s="65" t="s">
        <v>1</v>
      </c>
      <c r="C27" s="66" t="s">
        <v>18</v>
      </c>
      <c r="D27" s="191" t="s">
        <v>201</v>
      </c>
      <c r="E27" s="112" t="s">
        <v>521</v>
      </c>
      <c r="F27" s="229" t="s">
        <v>486</v>
      </c>
      <c r="G27" s="69">
        <v>6.4807813000000006E-2</v>
      </c>
      <c r="H27" s="119">
        <v>67.467957083767303</v>
      </c>
      <c r="I27" s="124">
        <v>5.1846250400000002E-2</v>
      </c>
      <c r="J27" s="125">
        <v>7.776937560000001E-2</v>
      </c>
      <c r="K27" s="126">
        <v>53.974365667013842</v>
      </c>
      <c r="L27" s="127">
        <v>80.961548500520763</v>
      </c>
      <c r="M27" s="160">
        <f t="shared" ref="M27:M40" si="7">L27-H27</f>
        <v>13.493591416753461</v>
      </c>
      <c r="N27" s="160">
        <f t="shared" ref="N27:N40" si="8">H27-K27</f>
        <v>13.493591416753461</v>
      </c>
      <c r="O27" s="159">
        <f t="shared" ref="O27:O40" si="9">J27-G27</f>
        <v>1.2961562600000004E-2</v>
      </c>
      <c r="P27" s="159">
        <f t="shared" ref="P27:P40" si="10">G27-I27</f>
        <v>1.2961562600000004E-2</v>
      </c>
      <c r="Q27" s="71"/>
      <c r="R27" s="161">
        <f t="shared" ref="R27:R40" si="11">G27*1000</f>
        <v>64.80781300000001</v>
      </c>
      <c r="S27" s="161">
        <f t="shared" ref="S27:S40" si="12">O27*1000</f>
        <v>12.961562600000004</v>
      </c>
      <c r="T27" s="161">
        <f t="shared" ref="T27:T40" si="13">P27*1000</f>
        <v>12.961562600000004</v>
      </c>
    </row>
    <row r="28" spans="1:20" s="86" customFormat="1">
      <c r="A28" s="71" t="s">
        <v>642</v>
      </c>
      <c r="B28" s="65" t="s">
        <v>1</v>
      </c>
      <c r="C28" s="66" t="s">
        <v>3</v>
      </c>
      <c r="D28" s="191" t="s">
        <v>199</v>
      </c>
      <c r="E28" s="112" t="s">
        <v>527</v>
      </c>
      <c r="F28" s="229" t="s">
        <v>488</v>
      </c>
      <c r="G28" s="69">
        <v>0.12650078000000001</v>
      </c>
      <c r="H28" s="119">
        <v>395.68398394124301</v>
      </c>
      <c r="I28" s="124">
        <v>8.8550546000000008E-2</v>
      </c>
      <c r="J28" s="125">
        <v>0.16445101400000001</v>
      </c>
      <c r="K28" s="126">
        <v>276.97878875887011</v>
      </c>
      <c r="L28" s="127">
        <v>514.38917912361592</v>
      </c>
      <c r="M28" s="160">
        <f t="shared" si="7"/>
        <v>118.7051951823729</v>
      </c>
      <c r="N28" s="160">
        <f t="shared" si="8"/>
        <v>118.7051951823729</v>
      </c>
      <c r="O28" s="159">
        <f t="shared" si="9"/>
        <v>3.7950233999999999E-2</v>
      </c>
      <c r="P28" s="159">
        <f t="shared" si="10"/>
        <v>3.7950233999999999E-2</v>
      </c>
      <c r="Q28" s="71"/>
      <c r="R28" s="161">
        <f t="shared" si="11"/>
        <v>126.50078000000001</v>
      </c>
      <c r="S28" s="161">
        <f t="shared" si="12"/>
        <v>37.950234000000002</v>
      </c>
      <c r="T28" s="161">
        <f t="shared" si="13"/>
        <v>37.950234000000002</v>
      </c>
    </row>
    <row r="29" spans="1:20" s="86" customFormat="1">
      <c r="A29" s="71" t="s">
        <v>642</v>
      </c>
      <c r="B29" s="65" t="s">
        <v>1</v>
      </c>
      <c r="C29" s="66" t="s">
        <v>59</v>
      </c>
      <c r="D29" s="187" t="s">
        <v>200</v>
      </c>
      <c r="E29" s="112" t="s">
        <v>551</v>
      </c>
      <c r="F29" s="229" t="s">
        <v>508</v>
      </c>
      <c r="G29" s="69">
        <v>0.25401742999999999</v>
      </c>
      <c r="H29" s="119">
        <v>980.50611467598947</v>
      </c>
      <c r="I29" s="124">
        <v>0.12700871499999999</v>
      </c>
      <c r="J29" s="125">
        <v>0.50803485999999998</v>
      </c>
      <c r="K29" s="126">
        <v>490.25305733799473</v>
      </c>
      <c r="L29" s="127">
        <v>1961.0122293519789</v>
      </c>
      <c r="M29" s="160">
        <f t="shared" si="7"/>
        <v>980.50611467598947</v>
      </c>
      <c r="N29" s="160">
        <f t="shared" si="8"/>
        <v>490.25305733799473</v>
      </c>
      <c r="O29" s="159">
        <f t="shared" si="9"/>
        <v>0.25401742999999999</v>
      </c>
      <c r="P29" s="159">
        <f t="shared" si="10"/>
        <v>0.12700871499999999</v>
      </c>
      <c r="Q29" s="71"/>
      <c r="R29" s="161">
        <f t="shared" si="11"/>
        <v>254.01742999999999</v>
      </c>
      <c r="S29" s="161">
        <f t="shared" si="12"/>
        <v>254.01742999999999</v>
      </c>
      <c r="T29" s="161">
        <f t="shared" si="13"/>
        <v>127.008715</v>
      </c>
    </row>
    <row r="30" spans="1:20" s="71" customFormat="1">
      <c r="A30" s="71" t="s">
        <v>642</v>
      </c>
      <c r="B30" s="65" t="s">
        <v>1</v>
      </c>
      <c r="C30" s="66" t="s">
        <v>23</v>
      </c>
      <c r="D30" s="190" t="s">
        <v>371</v>
      </c>
      <c r="E30" s="112" t="s">
        <v>477</v>
      </c>
      <c r="F30" s="229" t="s">
        <v>496</v>
      </c>
      <c r="G30" s="69">
        <v>10.735939</v>
      </c>
      <c r="H30" s="119">
        <v>21772.270294396087</v>
      </c>
      <c r="I30" s="124">
        <v>5.3679695000000001</v>
      </c>
      <c r="J30" s="125">
        <v>16.103908499999999</v>
      </c>
      <c r="K30" s="126">
        <v>10886.135147198043</v>
      </c>
      <c r="L30" s="127">
        <v>32658.405441594128</v>
      </c>
      <c r="M30" s="160">
        <f t="shared" si="7"/>
        <v>10886.135147198042</v>
      </c>
      <c r="N30" s="160">
        <f t="shared" si="8"/>
        <v>10886.135147198043</v>
      </c>
      <c r="O30" s="159">
        <f t="shared" si="9"/>
        <v>5.3679694999999992</v>
      </c>
      <c r="P30" s="159">
        <f t="shared" si="10"/>
        <v>5.3679695000000001</v>
      </c>
      <c r="R30" s="161">
        <f t="shared" si="11"/>
        <v>10735.939</v>
      </c>
      <c r="S30" s="161">
        <f t="shared" si="12"/>
        <v>5367.9694999999992</v>
      </c>
      <c r="T30" s="161">
        <f t="shared" si="13"/>
        <v>5367.9695000000002</v>
      </c>
    </row>
    <row r="31" spans="1:20" s="71" customFormat="1">
      <c r="A31" s="71" t="s">
        <v>642</v>
      </c>
      <c r="B31" s="65" t="s">
        <v>1</v>
      </c>
      <c r="C31" s="66" t="s">
        <v>25</v>
      </c>
      <c r="D31" s="190" t="s">
        <v>216</v>
      </c>
      <c r="E31" s="112" t="s">
        <v>538</v>
      </c>
      <c r="F31" s="229" t="s">
        <v>494</v>
      </c>
      <c r="G31" s="69">
        <v>11.481553</v>
      </c>
      <c r="H31" s="119">
        <v>22788.237501757012</v>
      </c>
      <c r="I31" s="124">
        <v>5.7407764999999999</v>
      </c>
      <c r="J31" s="125">
        <v>17.222329500000001</v>
      </c>
      <c r="K31" s="126">
        <v>11394.118750878506</v>
      </c>
      <c r="L31" s="127">
        <v>34182.356252635516</v>
      </c>
      <c r="M31" s="160">
        <f t="shared" si="7"/>
        <v>11394.118750878504</v>
      </c>
      <c r="N31" s="160">
        <f t="shared" si="8"/>
        <v>11394.118750878506</v>
      </c>
      <c r="O31" s="159">
        <f t="shared" si="9"/>
        <v>5.7407765000000008</v>
      </c>
      <c r="P31" s="159">
        <f t="shared" si="10"/>
        <v>5.7407764999999999</v>
      </c>
      <c r="R31" s="161">
        <f t="shared" si="11"/>
        <v>11481.553</v>
      </c>
      <c r="S31" s="161">
        <f t="shared" si="12"/>
        <v>5740.7765000000009</v>
      </c>
      <c r="T31" s="161">
        <f t="shared" si="13"/>
        <v>5740.7764999999999</v>
      </c>
    </row>
    <row r="32" spans="1:20" s="71" customFormat="1">
      <c r="A32" s="71" t="s">
        <v>642</v>
      </c>
      <c r="B32" s="65" t="s">
        <v>1</v>
      </c>
      <c r="C32" s="66" t="s">
        <v>85</v>
      </c>
      <c r="D32" s="187" t="s">
        <v>200</v>
      </c>
      <c r="E32" s="112" t="s">
        <v>552</v>
      </c>
      <c r="F32" s="229" t="s">
        <v>509</v>
      </c>
      <c r="G32" s="69">
        <v>14.265369</v>
      </c>
      <c r="H32" s="119">
        <v>27193.917519690509</v>
      </c>
      <c r="I32" s="124">
        <v>7.1326844999999999</v>
      </c>
      <c r="J32" s="125">
        <v>28.530737999999999</v>
      </c>
      <c r="K32" s="126">
        <v>13596.958759845254</v>
      </c>
      <c r="L32" s="127">
        <v>54387.835039381018</v>
      </c>
      <c r="M32" s="160">
        <f t="shared" si="7"/>
        <v>27193.917519690509</v>
      </c>
      <c r="N32" s="160">
        <f t="shared" si="8"/>
        <v>13596.958759845254</v>
      </c>
      <c r="O32" s="159">
        <f t="shared" si="9"/>
        <v>14.265369</v>
      </c>
      <c r="P32" s="159">
        <f t="shared" si="10"/>
        <v>7.1326844999999999</v>
      </c>
      <c r="R32" s="161">
        <f t="shared" si="11"/>
        <v>14265.369000000001</v>
      </c>
      <c r="S32" s="161">
        <f t="shared" si="12"/>
        <v>14265.369000000001</v>
      </c>
      <c r="T32" s="161">
        <f t="shared" si="13"/>
        <v>7132.6845000000003</v>
      </c>
    </row>
    <row r="33" spans="1:20" s="71" customFormat="1">
      <c r="A33" s="71" t="s">
        <v>642</v>
      </c>
      <c r="B33" s="65" t="s">
        <v>1</v>
      </c>
      <c r="C33" s="66" t="s">
        <v>24</v>
      </c>
      <c r="D33" s="190" t="s">
        <v>371</v>
      </c>
      <c r="E33" s="112" t="s">
        <v>539</v>
      </c>
      <c r="F33" s="229" t="s">
        <v>495</v>
      </c>
      <c r="G33" s="69">
        <v>32.207816999999999</v>
      </c>
      <c r="H33" s="119">
        <v>65316.81096258825</v>
      </c>
      <c r="I33" s="124">
        <v>16.103908499999999</v>
      </c>
      <c r="J33" s="125">
        <v>48.311725499999994</v>
      </c>
      <c r="K33" s="126">
        <v>32658.405481294125</v>
      </c>
      <c r="L33" s="127">
        <v>97975.216443882382</v>
      </c>
      <c r="M33" s="160">
        <f t="shared" si="7"/>
        <v>32658.405481294132</v>
      </c>
      <c r="N33" s="160">
        <f t="shared" si="8"/>
        <v>32658.405481294125</v>
      </c>
      <c r="O33" s="159">
        <f t="shared" si="9"/>
        <v>16.103908499999996</v>
      </c>
      <c r="P33" s="159">
        <f t="shared" si="10"/>
        <v>16.103908499999999</v>
      </c>
      <c r="R33" s="161">
        <f t="shared" si="11"/>
        <v>32207.816999999999</v>
      </c>
      <c r="S33" s="161">
        <f t="shared" si="12"/>
        <v>16103.908499999996</v>
      </c>
      <c r="T33" s="161">
        <f t="shared" si="13"/>
        <v>16103.9085</v>
      </c>
    </row>
    <row r="34" spans="1:20" s="71" customFormat="1">
      <c r="A34" s="71" t="s">
        <v>642</v>
      </c>
      <c r="B34" s="65" t="s">
        <v>38</v>
      </c>
      <c r="C34" s="66" t="s">
        <v>220</v>
      </c>
      <c r="D34" s="190" t="s">
        <v>216</v>
      </c>
      <c r="E34" s="112" t="s">
        <v>541</v>
      </c>
      <c r="F34" s="229" t="s">
        <v>498</v>
      </c>
      <c r="G34" s="69">
        <v>5.3150000000000003E-3</v>
      </c>
      <c r="H34" s="119">
        <v>7.8342110738352027</v>
      </c>
      <c r="I34" s="124">
        <v>2.6575000000000001E-3</v>
      </c>
      <c r="J34" s="125">
        <v>7.9725000000000004E-3</v>
      </c>
      <c r="K34" s="126">
        <v>3.9171055369176013</v>
      </c>
      <c r="L34" s="127">
        <v>11.751316610752804</v>
      </c>
      <c r="M34" s="160">
        <f t="shared" si="7"/>
        <v>3.9171055369176013</v>
      </c>
      <c r="N34" s="160">
        <f t="shared" si="8"/>
        <v>3.9171055369176013</v>
      </c>
      <c r="O34" s="159">
        <f t="shared" si="9"/>
        <v>2.6575000000000001E-3</v>
      </c>
      <c r="P34" s="159">
        <f t="shared" si="10"/>
        <v>2.6575000000000001E-3</v>
      </c>
      <c r="R34" s="161">
        <f t="shared" si="11"/>
        <v>5.3150000000000004</v>
      </c>
      <c r="S34" s="161">
        <f t="shared" si="12"/>
        <v>2.6575000000000002</v>
      </c>
      <c r="T34" s="161">
        <f t="shared" si="13"/>
        <v>2.6575000000000002</v>
      </c>
    </row>
    <row r="35" spans="1:20" s="71" customFormat="1">
      <c r="A35" s="71" t="s">
        <v>642</v>
      </c>
      <c r="B35" s="65" t="s">
        <v>38</v>
      </c>
      <c r="C35" s="66" t="s">
        <v>248</v>
      </c>
      <c r="D35" s="190" t="s">
        <v>232</v>
      </c>
      <c r="E35" s="112" t="s">
        <v>540</v>
      </c>
      <c r="F35" s="229" t="s">
        <v>497</v>
      </c>
      <c r="G35" s="69">
        <v>3.5199714999999999E-2</v>
      </c>
      <c r="H35" s="119">
        <v>50.763252037322673</v>
      </c>
      <c r="I35" s="124">
        <v>1.75998575E-2</v>
      </c>
      <c r="J35" s="125">
        <v>5.2799572500000003E-2</v>
      </c>
      <c r="K35" s="126">
        <v>25.381626018661336</v>
      </c>
      <c r="L35" s="127">
        <v>76.144878055984009</v>
      </c>
      <c r="M35" s="160">
        <f t="shared" si="7"/>
        <v>25.381626018661336</v>
      </c>
      <c r="N35" s="160">
        <f t="shared" si="8"/>
        <v>25.381626018661336</v>
      </c>
      <c r="O35" s="159">
        <f t="shared" si="9"/>
        <v>1.7599857500000003E-2</v>
      </c>
      <c r="P35" s="159">
        <f t="shared" si="10"/>
        <v>1.75998575E-2</v>
      </c>
      <c r="R35" s="161">
        <f t="shared" si="11"/>
        <v>35.199714999999998</v>
      </c>
      <c r="S35" s="161">
        <f t="shared" si="12"/>
        <v>17.599857500000002</v>
      </c>
      <c r="T35" s="161">
        <f t="shared" si="13"/>
        <v>17.599857499999999</v>
      </c>
    </row>
    <row r="36" spans="1:20" s="71" customFormat="1">
      <c r="A36" s="71" t="s">
        <v>642</v>
      </c>
      <c r="B36" s="65" t="s">
        <v>38</v>
      </c>
      <c r="C36" s="66" t="s">
        <v>247</v>
      </c>
      <c r="D36" s="190" t="s">
        <v>217</v>
      </c>
      <c r="E36" s="112" t="s">
        <v>534</v>
      </c>
      <c r="F36" s="229" t="s">
        <v>476</v>
      </c>
      <c r="G36" s="69">
        <v>5.5192583000000003E-2</v>
      </c>
      <c r="H36" s="119">
        <v>74.138500861070739</v>
      </c>
      <c r="I36" s="124">
        <v>3.3115549800000005E-2</v>
      </c>
      <c r="J36" s="125">
        <v>7.7269616200000002E-2</v>
      </c>
      <c r="K36" s="126">
        <v>44.483100516642438</v>
      </c>
      <c r="L36" s="127">
        <v>103.79390120549904</v>
      </c>
      <c r="M36" s="160">
        <f t="shared" si="7"/>
        <v>29.655400344428301</v>
      </c>
      <c r="N36" s="160">
        <f t="shared" si="8"/>
        <v>29.655400344428301</v>
      </c>
      <c r="O36" s="159">
        <f t="shared" si="9"/>
        <v>2.2077033199999999E-2</v>
      </c>
      <c r="P36" s="159">
        <f t="shared" si="10"/>
        <v>2.2077033199999999E-2</v>
      </c>
      <c r="R36" s="161">
        <f t="shared" si="11"/>
        <v>55.192583000000006</v>
      </c>
      <c r="S36" s="161">
        <f t="shared" si="12"/>
        <v>22.077033199999999</v>
      </c>
      <c r="T36" s="161">
        <f t="shared" si="13"/>
        <v>22.077033199999999</v>
      </c>
    </row>
    <row r="37" spans="1:20" s="71" customFormat="1">
      <c r="A37" s="71" t="s">
        <v>642</v>
      </c>
      <c r="B37" s="65" t="s">
        <v>38</v>
      </c>
      <c r="C37" s="66" t="s">
        <v>113</v>
      </c>
      <c r="D37" s="191" t="s">
        <v>222</v>
      </c>
      <c r="E37" s="112" t="s">
        <v>528</v>
      </c>
      <c r="F37" s="229" t="s">
        <v>489</v>
      </c>
      <c r="G37" s="69">
        <v>0.10280913999999999</v>
      </c>
      <c r="H37" s="119">
        <v>139.6695278322868</v>
      </c>
      <c r="I37" s="124">
        <v>7.1966398000000001E-2</v>
      </c>
      <c r="J37" s="125">
        <v>0.133651882</v>
      </c>
      <c r="K37" s="126">
        <v>97.768669482600757</v>
      </c>
      <c r="L37" s="127">
        <v>181.57038618197285</v>
      </c>
      <c r="M37" s="160">
        <f t="shared" si="7"/>
        <v>41.900858349686047</v>
      </c>
      <c r="N37" s="160">
        <f t="shared" si="8"/>
        <v>41.900858349686047</v>
      </c>
      <c r="O37" s="159">
        <f t="shared" si="9"/>
        <v>3.0842742000000006E-2</v>
      </c>
      <c r="P37" s="159">
        <f t="shared" si="10"/>
        <v>3.0842741999999992E-2</v>
      </c>
      <c r="R37" s="161">
        <f t="shared" si="11"/>
        <v>102.80914</v>
      </c>
      <c r="S37" s="161">
        <f t="shared" si="12"/>
        <v>30.842742000000005</v>
      </c>
      <c r="T37" s="161">
        <f t="shared" si="13"/>
        <v>30.842741999999994</v>
      </c>
    </row>
    <row r="38" spans="1:20" s="71" customFormat="1">
      <c r="A38" s="71" t="s">
        <v>642</v>
      </c>
      <c r="B38" s="65" t="s">
        <v>38</v>
      </c>
      <c r="C38" s="66" t="s">
        <v>195</v>
      </c>
      <c r="D38" s="187" t="s">
        <v>307</v>
      </c>
      <c r="E38" s="112" t="s">
        <v>553</v>
      </c>
      <c r="F38" s="229" t="s">
        <v>510</v>
      </c>
      <c r="G38" s="69">
        <v>0.15890000000000001</v>
      </c>
      <c r="H38" s="119">
        <v>298.38669374595929</v>
      </c>
      <c r="I38" s="124">
        <v>7.9450000000000007E-2</v>
      </c>
      <c r="J38" s="125">
        <v>0.31780000000000003</v>
      </c>
      <c r="K38" s="126">
        <v>149.19334687297965</v>
      </c>
      <c r="L38" s="127">
        <v>596.77338749191858</v>
      </c>
      <c r="M38" s="160">
        <f t="shared" si="7"/>
        <v>298.38669374595929</v>
      </c>
      <c r="N38" s="160">
        <f t="shared" si="8"/>
        <v>149.19334687297965</v>
      </c>
      <c r="O38" s="159">
        <f t="shared" si="9"/>
        <v>0.15890000000000001</v>
      </c>
      <c r="P38" s="159">
        <f t="shared" si="10"/>
        <v>7.9450000000000007E-2</v>
      </c>
      <c r="R38" s="161">
        <f t="shared" si="11"/>
        <v>158.9</v>
      </c>
      <c r="S38" s="161">
        <f t="shared" si="12"/>
        <v>158.9</v>
      </c>
      <c r="T38" s="161">
        <f t="shared" si="13"/>
        <v>79.45</v>
      </c>
    </row>
    <row r="39" spans="1:20" s="71" customFormat="1">
      <c r="A39" s="71" t="s">
        <v>642</v>
      </c>
      <c r="B39" s="65" t="s">
        <v>38</v>
      </c>
      <c r="C39" s="66" t="s">
        <v>19</v>
      </c>
      <c r="D39" s="191" t="s">
        <v>236</v>
      </c>
      <c r="E39" s="112" t="s">
        <v>529</v>
      </c>
      <c r="F39" s="229" t="s">
        <v>482</v>
      </c>
      <c r="G39" s="69">
        <v>0.51648035999999997</v>
      </c>
      <c r="H39" s="119">
        <v>862.12903767869295</v>
      </c>
      <c r="I39" s="124">
        <v>0.36153625199999995</v>
      </c>
      <c r="J39" s="125">
        <v>0.671424468</v>
      </c>
      <c r="K39" s="126">
        <v>603.49032637508503</v>
      </c>
      <c r="L39" s="127">
        <v>1120.7677489823009</v>
      </c>
      <c r="M39" s="160">
        <f t="shared" si="7"/>
        <v>258.63871130360792</v>
      </c>
      <c r="N39" s="160">
        <f t="shared" si="8"/>
        <v>258.63871130360792</v>
      </c>
      <c r="O39" s="159">
        <f t="shared" si="9"/>
        <v>0.15494410800000002</v>
      </c>
      <c r="P39" s="159">
        <f t="shared" si="10"/>
        <v>0.15494410800000002</v>
      </c>
      <c r="R39" s="161">
        <f t="shared" si="11"/>
        <v>516.48036000000002</v>
      </c>
      <c r="S39" s="161">
        <f t="shared" si="12"/>
        <v>154.94410800000003</v>
      </c>
      <c r="T39" s="161">
        <f t="shared" si="13"/>
        <v>154.94410800000003</v>
      </c>
    </row>
    <row r="40" spans="1:20" s="71" customFormat="1">
      <c r="A40" s="71" t="s">
        <v>642</v>
      </c>
      <c r="B40" s="65" t="s">
        <v>38</v>
      </c>
      <c r="C40" s="66" t="s">
        <v>253</v>
      </c>
      <c r="D40" s="187" t="s">
        <v>308</v>
      </c>
      <c r="E40" s="112" t="s">
        <v>560</v>
      </c>
      <c r="F40" s="229" t="s">
        <v>519</v>
      </c>
      <c r="G40" s="69">
        <v>2.8064467</v>
      </c>
      <c r="H40" s="119">
        <v>2254.4955109512716</v>
      </c>
      <c r="I40" s="124">
        <v>0.56128933999999997</v>
      </c>
      <c r="J40" s="125">
        <v>14.0322335</v>
      </c>
      <c r="K40" s="126">
        <v>450.89910219025433</v>
      </c>
      <c r="L40" s="127">
        <v>11272.477554756359</v>
      </c>
      <c r="M40" s="160">
        <f t="shared" si="7"/>
        <v>9017.9820438050865</v>
      </c>
      <c r="N40" s="160">
        <f t="shared" si="8"/>
        <v>1803.5964087610173</v>
      </c>
      <c r="O40" s="159">
        <f t="shared" si="9"/>
        <v>11.2257868</v>
      </c>
      <c r="P40" s="159">
        <f t="shared" si="10"/>
        <v>2.2451573599999999</v>
      </c>
      <c r="R40" s="161">
        <f t="shared" si="11"/>
        <v>2806.4467</v>
      </c>
      <c r="S40" s="161">
        <f t="shared" si="12"/>
        <v>11225.7868</v>
      </c>
      <c r="T40" s="161">
        <f t="shared" si="13"/>
        <v>2245.1573599999997</v>
      </c>
    </row>
    <row r="41" spans="1:20" s="244" customFormat="1">
      <c r="A41" s="233" t="s">
        <v>643</v>
      </c>
      <c r="B41" s="234" t="s">
        <v>38</v>
      </c>
      <c r="C41" s="235" t="s">
        <v>721</v>
      </c>
      <c r="D41" s="247">
        <v>0.4</v>
      </c>
      <c r="E41" s="237" t="s">
        <v>534</v>
      </c>
      <c r="F41" s="238" t="s">
        <v>476</v>
      </c>
      <c r="G41" s="245">
        <v>5.5192583000000003E-2</v>
      </c>
      <c r="H41" s="246">
        <v>74.138500861070739</v>
      </c>
      <c r="I41" s="241"/>
      <c r="J41" s="242"/>
      <c r="K41" s="242"/>
      <c r="L41" s="243"/>
    </row>
    <row r="42" spans="1:20" s="244" customFormat="1">
      <c r="A42" s="233" t="s">
        <v>643</v>
      </c>
      <c r="B42" s="234" t="s">
        <v>38</v>
      </c>
      <c r="C42" s="235" t="s">
        <v>114</v>
      </c>
      <c r="D42" s="236">
        <v>10</v>
      </c>
      <c r="E42" s="237" t="s">
        <v>577</v>
      </c>
      <c r="F42" s="238" t="s">
        <v>590</v>
      </c>
      <c r="G42" s="245">
        <v>1.4641096</v>
      </c>
      <c r="H42" s="246">
        <v>937.170910924483</v>
      </c>
      <c r="I42" s="241"/>
      <c r="J42" s="242"/>
      <c r="K42" s="242"/>
      <c r="L42" s="243"/>
    </row>
    <row r="43" spans="1:20" s="71" customFormat="1">
      <c r="A43" s="71" t="s">
        <v>642</v>
      </c>
      <c r="B43" s="65" t="s">
        <v>438</v>
      </c>
      <c r="C43" s="84" t="s">
        <v>53</v>
      </c>
      <c r="D43" s="187" t="s">
        <v>200</v>
      </c>
      <c r="E43" s="112" t="s">
        <v>554</v>
      </c>
      <c r="F43" s="229" t="s">
        <v>511</v>
      </c>
      <c r="G43" s="69">
        <v>9.9516740000000006E-3</v>
      </c>
      <c r="H43" s="119">
        <v>8.4566888560873181</v>
      </c>
      <c r="I43" s="124">
        <v>4.9758370000000003E-3</v>
      </c>
      <c r="J43" s="125">
        <v>1.9903348000000001E-2</v>
      </c>
      <c r="K43" s="126">
        <v>4.2283444280436591</v>
      </c>
      <c r="L43" s="127">
        <v>16.913377712174636</v>
      </c>
      <c r="M43" s="160">
        <f t="shared" ref="M43:M55" si="14">L43-H43</f>
        <v>8.4566888560873181</v>
      </c>
      <c r="N43" s="160">
        <f t="shared" ref="N43:N55" si="15">H43-K43</f>
        <v>4.2283444280436591</v>
      </c>
      <c r="O43" s="159">
        <f t="shared" ref="O43:O55" si="16">J43-G43</f>
        <v>9.9516740000000006E-3</v>
      </c>
      <c r="P43" s="159">
        <f t="shared" ref="P43:P55" si="17">G43-I43</f>
        <v>4.9758370000000003E-3</v>
      </c>
      <c r="R43" s="161">
        <f t="shared" ref="R43:R55" si="18">G43*1000</f>
        <v>9.9516740000000006</v>
      </c>
      <c r="S43" s="161">
        <f t="shared" ref="S43:S55" si="19">O43*1000</f>
        <v>9.9516740000000006</v>
      </c>
      <c r="T43" s="161">
        <f t="shared" ref="T43:T55" si="20">P43*1000</f>
        <v>4.9758370000000003</v>
      </c>
    </row>
    <row r="44" spans="1:20" s="71" customFormat="1">
      <c r="A44" s="71" t="s">
        <v>642</v>
      </c>
      <c r="B44" s="65" t="s">
        <v>438</v>
      </c>
      <c r="C44" s="66" t="s">
        <v>138</v>
      </c>
      <c r="D44" s="190" t="s">
        <v>216</v>
      </c>
      <c r="E44" s="112" t="s">
        <v>542</v>
      </c>
      <c r="F44" s="229" t="s">
        <v>499</v>
      </c>
      <c r="G44" s="69">
        <v>2.2048029E-2</v>
      </c>
      <c r="H44" s="119">
        <v>24.68810649890937</v>
      </c>
      <c r="I44" s="124">
        <v>1.10240145E-2</v>
      </c>
      <c r="J44" s="125">
        <v>3.3072043500000002E-2</v>
      </c>
      <c r="K44" s="126">
        <v>12.344053249454685</v>
      </c>
      <c r="L44" s="127">
        <v>37.032159748364052</v>
      </c>
      <c r="M44" s="160">
        <f t="shared" si="14"/>
        <v>12.344053249454682</v>
      </c>
      <c r="N44" s="160">
        <f t="shared" si="15"/>
        <v>12.344053249454685</v>
      </c>
      <c r="O44" s="159">
        <f t="shared" si="16"/>
        <v>1.1024014500000002E-2</v>
      </c>
      <c r="P44" s="159">
        <f t="shared" si="17"/>
        <v>1.10240145E-2</v>
      </c>
      <c r="R44" s="161">
        <f t="shared" si="18"/>
        <v>22.048029</v>
      </c>
      <c r="S44" s="161">
        <f t="shared" si="19"/>
        <v>11.024014500000002</v>
      </c>
      <c r="T44" s="161">
        <f t="shared" si="20"/>
        <v>11.0240145</v>
      </c>
    </row>
    <row r="45" spans="1:20" s="71" customFormat="1">
      <c r="A45" s="71" t="s">
        <v>642</v>
      </c>
      <c r="B45" s="65" t="s">
        <v>438</v>
      </c>
      <c r="C45" s="66" t="s">
        <v>336</v>
      </c>
      <c r="D45" s="187" t="s">
        <v>200</v>
      </c>
      <c r="E45" s="112" t="s">
        <v>559</v>
      </c>
      <c r="F45" s="229" t="s">
        <v>516</v>
      </c>
      <c r="G45" s="69">
        <v>3.0845792E-2</v>
      </c>
      <c r="H45" s="119">
        <v>33.512047632653974</v>
      </c>
      <c r="I45" s="124">
        <v>1.5422896E-2</v>
      </c>
      <c r="J45" s="125">
        <v>6.1691584000000001E-2</v>
      </c>
      <c r="K45" s="126">
        <v>16.756023816326987</v>
      </c>
      <c r="L45" s="127">
        <v>67.024095265307949</v>
      </c>
      <c r="M45" s="160">
        <f t="shared" si="14"/>
        <v>33.512047632653974</v>
      </c>
      <c r="N45" s="160">
        <f t="shared" si="15"/>
        <v>16.756023816326987</v>
      </c>
      <c r="O45" s="159">
        <f t="shared" si="16"/>
        <v>3.0845792E-2</v>
      </c>
      <c r="P45" s="159">
        <f t="shared" si="17"/>
        <v>1.5422896E-2</v>
      </c>
      <c r="R45" s="161">
        <f t="shared" si="18"/>
        <v>30.845791999999999</v>
      </c>
      <c r="S45" s="161">
        <f t="shared" si="19"/>
        <v>30.845791999999999</v>
      </c>
      <c r="T45" s="161">
        <f t="shared" si="20"/>
        <v>15.422896</v>
      </c>
    </row>
    <row r="46" spans="1:20" s="71" customFormat="1">
      <c r="A46" s="71" t="s">
        <v>642</v>
      </c>
      <c r="B46" s="65" t="s">
        <v>438</v>
      </c>
      <c r="C46" s="84" t="s">
        <v>50</v>
      </c>
      <c r="D46" s="190" t="s">
        <v>216</v>
      </c>
      <c r="E46" s="112" t="s">
        <v>540</v>
      </c>
      <c r="F46" s="229" t="s">
        <v>500</v>
      </c>
      <c r="G46" s="69">
        <v>3.1121656000000001E-2</v>
      </c>
      <c r="H46" s="119">
        <v>46.352653807595956</v>
      </c>
      <c r="I46" s="124">
        <v>1.5560828000000001E-2</v>
      </c>
      <c r="J46" s="125">
        <v>4.6682484000000003E-2</v>
      </c>
      <c r="K46" s="126">
        <v>23.176326903797978</v>
      </c>
      <c r="L46" s="127">
        <v>69.528980711393928</v>
      </c>
      <c r="M46" s="160">
        <f t="shared" si="14"/>
        <v>23.176326903797971</v>
      </c>
      <c r="N46" s="160">
        <f t="shared" si="15"/>
        <v>23.176326903797978</v>
      </c>
      <c r="O46" s="159">
        <f t="shared" si="16"/>
        <v>1.5560828000000002E-2</v>
      </c>
      <c r="P46" s="159">
        <f t="shared" si="17"/>
        <v>1.5560828000000001E-2</v>
      </c>
      <c r="R46" s="161">
        <f t="shared" si="18"/>
        <v>31.121656000000002</v>
      </c>
      <c r="S46" s="161">
        <f t="shared" si="19"/>
        <v>15.560828000000003</v>
      </c>
      <c r="T46" s="161">
        <f t="shared" si="20"/>
        <v>15.560828000000001</v>
      </c>
    </row>
    <row r="47" spans="1:20" s="71" customFormat="1">
      <c r="A47" s="71" t="s">
        <v>642</v>
      </c>
      <c r="B47" s="65" t="s">
        <v>438</v>
      </c>
      <c r="C47" s="84" t="s">
        <v>52</v>
      </c>
      <c r="D47" s="190" t="s">
        <v>216</v>
      </c>
      <c r="E47" s="112" t="s">
        <v>537</v>
      </c>
      <c r="F47" s="229" t="s">
        <v>501</v>
      </c>
      <c r="G47" s="69">
        <v>3.9125422999999999E-2</v>
      </c>
      <c r="H47" s="119">
        <v>55.413236272241924</v>
      </c>
      <c r="I47" s="124">
        <v>1.95627115E-2</v>
      </c>
      <c r="J47" s="125">
        <v>5.8688134500000003E-2</v>
      </c>
      <c r="K47" s="126">
        <v>27.706618136120962</v>
      </c>
      <c r="L47" s="127">
        <v>83.119854408362883</v>
      </c>
      <c r="M47" s="160">
        <f t="shared" si="14"/>
        <v>27.706618136120959</v>
      </c>
      <c r="N47" s="160">
        <f t="shared" si="15"/>
        <v>27.706618136120962</v>
      </c>
      <c r="O47" s="159">
        <f t="shared" si="16"/>
        <v>1.9562711500000003E-2</v>
      </c>
      <c r="P47" s="159">
        <f t="shared" si="17"/>
        <v>1.95627115E-2</v>
      </c>
      <c r="R47" s="161">
        <f t="shared" si="18"/>
        <v>39.125422999999998</v>
      </c>
      <c r="S47" s="161">
        <f t="shared" si="19"/>
        <v>19.562711500000002</v>
      </c>
      <c r="T47" s="161">
        <f t="shared" si="20"/>
        <v>19.562711499999999</v>
      </c>
    </row>
    <row r="48" spans="1:20" s="71" customFormat="1">
      <c r="A48" s="71" t="s">
        <v>642</v>
      </c>
      <c r="B48" s="65" t="s">
        <v>438</v>
      </c>
      <c r="C48" s="66" t="s">
        <v>335</v>
      </c>
      <c r="D48" s="187" t="s">
        <v>312</v>
      </c>
      <c r="E48" s="112" t="s">
        <v>558</v>
      </c>
      <c r="F48" s="229" t="s">
        <v>515</v>
      </c>
      <c r="G48" s="69">
        <v>4.5695101000000002E-2</v>
      </c>
      <c r="H48" s="119">
        <v>63.045924441907516</v>
      </c>
      <c r="I48" s="124">
        <v>2.2847550500000001E-2</v>
      </c>
      <c r="J48" s="125">
        <v>9.1390202000000004E-2</v>
      </c>
      <c r="K48" s="126">
        <v>31.522962220953758</v>
      </c>
      <c r="L48" s="127">
        <v>126.09184888381503</v>
      </c>
      <c r="M48" s="160">
        <f t="shared" si="14"/>
        <v>63.045924441907516</v>
      </c>
      <c r="N48" s="160">
        <f t="shared" si="15"/>
        <v>31.522962220953758</v>
      </c>
      <c r="O48" s="159">
        <f t="shared" si="16"/>
        <v>4.5695101000000002E-2</v>
      </c>
      <c r="P48" s="159">
        <f t="shared" si="17"/>
        <v>2.2847550500000001E-2</v>
      </c>
      <c r="R48" s="161">
        <f t="shared" si="18"/>
        <v>45.695101000000001</v>
      </c>
      <c r="S48" s="161">
        <f t="shared" si="19"/>
        <v>45.695101000000001</v>
      </c>
      <c r="T48" s="161">
        <f t="shared" si="20"/>
        <v>22.847550500000001</v>
      </c>
    </row>
    <row r="49" spans="1:20" s="71" customFormat="1" ht="15" thickBot="1">
      <c r="A49" s="71" t="s">
        <v>642</v>
      </c>
      <c r="B49" s="73" t="s">
        <v>438</v>
      </c>
      <c r="C49" s="74" t="s">
        <v>332</v>
      </c>
      <c r="D49" s="188" t="s">
        <v>200</v>
      </c>
      <c r="E49" s="116" t="s">
        <v>555</v>
      </c>
      <c r="F49" s="231" t="s">
        <v>512</v>
      </c>
      <c r="G49" s="77">
        <v>7.0093205000000006E-2</v>
      </c>
      <c r="H49" s="120">
        <v>72.124661835116797</v>
      </c>
      <c r="I49" s="130">
        <v>3.5046602500000003E-2</v>
      </c>
      <c r="J49" s="131">
        <v>0.14018641000000001</v>
      </c>
      <c r="K49" s="132">
        <v>36.062330917558398</v>
      </c>
      <c r="L49" s="133">
        <v>144.24932367023359</v>
      </c>
      <c r="M49" s="160">
        <f t="shared" si="14"/>
        <v>72.124661835116797</v>
      </c>
      <c r="N49" s="160">
        <f t="shared" si="15"/>
        <v>36.062330917558398</v>
      </c>
      <c r="O49" s="159">
        <f t="shared" si="16"/>
        <v>7.0093205000000006E-2</v>
      </c>
      <c r="P49" s="159">
        <f t="shared" si="17"/>
        <v>3.5046602500000003E-2</v>
      </c>
      <c r="R49" s="161">
        <f t="shared" si="18"/>
        <v>70.093205000000012</v>
      </c>
      <c r="S49" s="161">
        <f t="shared" si="19"/>
        <v>70.093205000000012</v>
      </c>
      <c r="T49" s="161">
        <f t="shared" si="20"/>
        <v>35.046602500000006</v>
      </c>
    </row>
    <row r="50" spans="1:20">
      <c r="A50" s="71" t="s">
        <v>642</v>
      </c>
      <c r="B50" s="65" t="s">
        <v>438</v>
      </c>
      <c r="C50" s="66" t="s">
        <v>304</v>
      </c>
      <c r="D50" s="187" t="s">
        <v>311</v>
      </c>
      <c r="E50" s="112" t="s">
        <v>557</v>
      </c>
      <c r="F50" s="232" t="s">
        <v>514</v>
      </c>
      <c r="G50" s="69">
        <v>7.4256890000000006E-2</v>
      </c>
      <c r="H50" s="70">
        <v>96.439776944594371</v>
      </c>
      <c r="I50" s="197">
        <v>3.7128445000000003E-2</v>
      </c>
      <c r="J50" s="197">
        <v>0.14851378000000001</v>
      </c>
      <c r="K50" s="198">
        <v>48.219888472297185</v>
      </c>
      <c r="L50" s="198">
        <v>192.87955388918874</v>
      </c>
      <c r="M50" s="160">
        <f t="shared" si="14"/>
        <v>96.439776944594371</v>
      </c>
      <c r="N50" s="160">
        <f t="shared" si="15"/>
        <v>48.219888472297185</v>
      </c>
      <c r="O50" s="159">
        <f t="shared" si="16"/>
        <v>7.4256890000000006E-2</v>
      </c>
      <c r="P50" s="159">
        <f t="shared" si="17"/>
        <v>3.7128445000000003E-2</v>
      </c>
      <c r="Q50" s="71"/>
      <c r="R50" s="161">
        <f t="shared" si="18"/>
        <v>74.256890000000013</v>
      </c>
      <c r="S50" s="161">
        <f t="shared" si="19"/>
        <v>74.256890000000013</v>
      </c>
      <c r="T50" s="161">
        <f t="shared" si="20"/>
        <v>37.128445000000006</v>
      </c>
    </row>
    <row r="51" spans="1:20">
      <c r="A51" s="71" t="s">
        <v>642</v>
      </c>
      <c r="B51" s="65" t="s">
        <v>438</v>
      </c>
      <c r="C51" s="66" t="s">
        <v>306</v>
      </c>
      <c r="D51" s="190" t="s">
        <v>216</v>
      </c>
      <c r="E51" s="112" t="s">
        <v>546</v>
      </c>
      <c r="F51" s="232" t="s">
        <v>502</v>
      </c>
      <c r="G51" s="69">
        <v>0.11344694</v>
      </c>
      <c r="H51" s="70">
        <v>119.41271157440602</v>
      </c>
      <c r="I51" s="197">
        <v>5.6723469999999998E-2</v>
      </c>
      <c r="J51" s="197">
        <v>0.17017040999999999</v>
      </c>
      <c r="K51" s="198">
        <v>59.706355787203009</v>
      </c>
      <c r="L51" s="198">
        <v>179.11906736160904</v>
      </c>
      <c r="M51" s="160">
        <f t="shared" si="14"/>
        <v>59.706355787203023</v>
      </c>
      <c r="N51" s="160">
        <f t="shared" si="15"/>
        <v>59.706355787203009</v>
      </c>
      <c r="O51" s="159">
        <f t="shared" si="16"/>
        <v>5.6723469999999998E-2</v>
      </c>
      <c r="P51" s="159">
        <f t="shared" si="17"/>
        <v>5.6723469999999998E-2</v>
      </c>
      <c r="Q51" s="86"/>
      <c r="R51" s="161">
        <f t="shared" si="18"/>
        <v>113.44694</v>
      </c>
      <c r="S51" s="161">
        <f t="shared" si="19"/>
        <v>56.723469999999999</v>
      </c>
      <c r="T51" s="161">
        <f t="shared" si="20"/>
        <v>56.723469999999999</v>
      </c>
    </row>
    <row r="52" spans="1:20">
      <c r="A52" s="71" t="s">
        <v>642</v>
      </c>
      <c r="B52" s="65" t="s">
        <v>438</v>
      </c>
      <c r="C52" s="66" t="s">
        <v>333</v>
      </c>
      <c r="D52" s="190" t="s">
        <v>216</v>
      </c>
      <c r="E52" s="112" t="s">
        <v>543</v>
      </c>
      <c r="F52" s="232" t="s">
        <v>502</v>
      </c>
      <c r="G52" s="69">
        <v>9.4660153999999996E-2</v>
      </c>
      <c r="H52" s="70">
        <v>120.90993868895241</v>
      </c>
      <c r="I52" s="197">
        <v>4.7330076999999998E-2</v>
      </c>
      <c r="J52" s="197">
        <v>0.14199023099999999</v>
      </c>
      <c r="K52" s="198">
        <v>60.454969344476204</v>
      </c>
      <c r="L52" s="198">
        <v>181.36490803342861</v>
      </c>
      <c r="M52" s="160">
        <f t="shared" si="14"/>
        <v>60.454969344476197</v>
      </c>
      <c r="N52" s="160">
        <f t="shared" si="15"/>
        <v>60.454969344476204</v>
      </c>
      <c r="O52" s="159">
        <f t="shared" si="16"/>
        <v>4.7330076999999998E-2</v>
      </c>
      <c r="P52" s="159">
        <f t="shared" si="17"/>
        <v>4.7330076999999998E-2</v>
      </c>
      <c r="Q52" s="86"/>
      <c r="R52" s="161">
        <f t="shared" si="18"/>
        <v>94.660153999999991</v>
      </c>
      <c r="S52" s="161">
        <f t="shared" si="19"/>
        <v>47.330076999999996</v>
      </c>
      <c r="T52" s="161">
        <f t="shared" si="20"/>
        <v>47.330076999999996</v>
      </c>
    </row>
    <row r="53" spans="1:20">
      <c r="A53" s="71" t="s">
        <v>642</v>
      </c>
      <c r="B53" s="65" t="s">
        <v>438</v>
      </c>
      <c r="C53" s="66" t="s">
        <v>334</v>
      </c>
      <c r="D53" s="190" t="s">
        <v>216</v>
      </c>
      <c r="E53" s="112" t="s">
        <v>544</v>
      </c>
      <c r="F53" s="232" t="s">
        <v>503</v>
      </c>
      <c r="G53" s="69">
        <v>0.10281868</v>
      </c>
      <c r="H53" s="70">
        <v>129.8336285903012</v>
      </c>
      <c r="I53" s="197">
        <v>5.1409339999999998E-2</v>
      </c>
      <c r="J53" s="197">
        <v>0.15422801999999999</v>
      </c>
      <c r="K53" s="198">
        <v>64.916814295150601</v>
      </c>
      <c r="L53" s="198">
        <v>194.7504428854518</v>
      </c>
      <c r="M53" s="160">
        <f t="shared" si="14"/>
        <v>64.916814295150601</v>
      </c>
      <c r="N53" s="160">
        <f t="shared" si="15"/>
        <v>64.916814295150601</v>
      </c>
      <c r="O53" s="159">
        <f t="shared" si="16"/>
        <v>5.1409339999999998E-2</v>
      </c>
      <c r="P53" s="159">
        <f t="shared" si="17"/>
        <v>5.1409339999999998E-2</v>
      </c>
      <c r="Q53" s="86"/>
      <c r="R53" s="161">
        <f t="shared" si="18"/>
        <v>102.81868</v>
      </c>
      <c r="S53" s="161">
        <f t="shared" si="19"/>
        <v>51.40934</v>
      </c>
      <c r="T53" s="161">
        <f t="shared" si="20"/>
        <v>51.40934</v>
      </c>
    </row>
    <row r="54" spans="1:20">
      <c r="A54" s="71" t="s">
        <v>642</v>
      </c>
      <c r="B54" s="65" t="s">
        <v>438</v>
      </c>
      <c r="C54" s="66" t="s">
        <v>303</v>
      </c>
      <c r="D54" s="187" t="s">
        <v>310</v>
      </c>
      <c r="E54" s="112" t="s">
        <v>556</v>
      </c>
      <c r="F54" s="232" t="s">
        <v>513</v>
      </c>
      <c r="G54" s="69">
        <v>0.20564112000000001</v>
      </c>
      <c r="H54" s="70">
        <v>250.05149659710594</v>
      </c>
      <c r="I54" s="197">
        <v>0.10282056000000001</v>
      </c>
      <c r="J54" s="197">
        <v>0.41128224000000002</v>
      </c>
      <c r="K54" s="198">
        <v>125.02574829855297</v>
      </c>
      <c r="L54" s="198">
        <v>500.10299319421188</v>
      </c>
      <c r="M54" s="160">
        <f t="shared" si="14"/>
        <v>250.05149659710594</v>
      </c>
      <c r="N54" s="160">
        <f t="shared" si="15"/>
        <v>125.02574829855297</v>
      </c>
      <c r="O54" s="159">
        <f t="shared" si="16"/>
        <v>0.20564112000000001</v>
      </c>
      <c r="P54" s="159">
        <f t="shared" si="17"/>
        <v>0.10282056000000001</v>
      </c>
      <c r="Q54" s="71"/>
      <c r="R54" s="161">
        <f t="shared" si="18"/>
        <v>205.64112</v>
      </c>
      <c r="S54" s="161">
        <f t="shared" si="19"/>
        <v>205.64112</v>
      </c>
      <c r="T54" s="161">
        <f t="shared" si="20"/>
        <v>102.82056</v>
      </c>
    </row>
    <row r="55" spans="1:20">
      <c r="A55" s="71" t="s">
        <v>642</v>
      </c>
      <c r="B55" s="65" t="s">
        <v>438</v>
      </c>
      <c r="C55" s="66" t="s">
        <v>305</v>
      </c>
      <c r="D55" s="190" t="s">
        <v>216</v>
      </c>
      <c r="E55" s="112" t="s">
        <v>545</v>
      </c>
      <c r="F55" s="232" t="s">
        <v>504</v>
      </c>
      <c r="G55" s="69">
        <v>0.24483116999999999</v>
      </c>
      <c r="H55" s="70">
        <v>273.02443577691753</v>
      </c>
      <c r="I55" s="197">
        <v>0.12241558499999999</v>
      </c>
      <c r="J55" s="197">
        <v>0.36724675499999998</v>
      </c>
      <c r="K55" s="198">
        <v>136.51221788845876</v>
      </c>
      <c r="L55" s="198">
        <v>409.53665366537632</v>
      </c>
      <c r="M55" s="160">
        <f t="shared" si="14"/>
        <v>136.51221788845879</v>
      </c>
      <c r="N55" s="160">
        <f t="shared" si="15"/>
        <v>136.51221788845876</v>
      </c>
      <c r="O55" s="159">
        <f t="shared" si="16"/>
        <v>0.12241558499999999</v>
      </c>
      <c r="P55" s="159">
        <f t="shared" si="17"/>
        <v>0.12241558499999999</v>
      </c>
      <c r="Q55" s="71"/>
      <c r="R55" s="161">
        <f t="shared" si="18"/>
        <v>244.83116999999999</v>
      </c>
      <c r="S55" s="161">
        <f t="shared" si="19"/>
        <v>122.41558499999999</v>
      </c>
      <c r="T55" s="161">
        <f t="shared" si="20"/>
        <v>122.41558499999999</v>
      </c>
    </row>
    <row r="56" spans="1:20" s="244" customFormat="1">
      <c r="A56" s="233" t="s">
        <v>643</v>
      </c>
      <c r="B56" s="234" t="s">
        <v>438</v>
      </c>
      <c r="C56" s="235" t="s">
        <v>48</v>
      </c>
      <c r="D56" s="236">
        <v>2</v>
      </c>
      <c r="E56" s="237" t="s">
        <v>550</v>
      </c>
      <c r="F56" s="249" t="s">
        <v>584</v>
      </c>
      <c r="G56" s="245">
        <v>2.4259216E-2</v>
      </c>
      <c r="H56" s="250">
        <v>17.312235200913868</v>
      </c>
      <c r="I56" s="251"/>
      <c r="J56" s="251"/>
      <c r="K56" s="251"/>
      <c r="L56" s="251"/>
    </row>
    <row r="57" spans="1:20" s="244" customFormat="1">
      <c r="A57" s="233" t="s">
        <v>643</v>
      </c>
      <c r="B57" s="234" t="s">
        <v>438</v>
      </c>
      <c r="C57" s="235" t="s">
        <v>55</v>
      </c>
      <c r="D57" s="247">
        <v>0.5</v>
      </c>
      <c r="E57" s="237" t="s">
        <v>566</v>
      </c>
      <c r="F57" s="249" t="s">
        <v>579</v>
      </c>
      <c r="G57" s="245">
        <v>2.3317665000000001E-2</v>
      </c>
      <c r="H57" s="250">
        <v>35.005687060780502</v>
      </c>
      <c r="I57" s="251"/>
      <c r="J57" s="251"/>
      <c r="K57" s="251"/>
      <c r="L57" s="251"/>
    </row>
    <row r="58" spans="1:20" s="244" customFormat="1">
      <c r="A58" s="233" t="s">
        <v>643</v>
      </c>
      <c r="B58" s="234" t="s">
        <v>438</v>
      </c>
      <c r="C58" s="235" t="s">
        <v>58</v>
      </c>
      <c r="D58" s="247">
        <v>0.5</v>
      </c>
      <c r="E58" s="237" t="s">
        <v>566</v>
      </c>
      <c r="F58" s="249" t="s">
        <v>580</v>
      </c>
      <c r="G58" s="245">
        <v>2.6666532E-2</v>
      </c>
      <c r="H58" s="250">
        <v>42.501973704446463</v>
      </c>
      <c r="I58" s="251"/>
      <c r="J58" s="251"/>
      <c r="K58" s="251"/>
      <c r="L58" s="251"/>
    </row>
    <row r="59" spans="1:20" s="244" customFormat="1">
      <c r="A59" s="233" t="s">
        <v>643</v>
      </c>
      <c r="B59" s="234" t="s">
        <v>438</v>
      </c>
      <c r="C59" s="235" t="s">
        <v>56</v>
      </c>
      <c r="D59" s="247">
        <v>0.5</v>
      </c>
      <c r="E59" s="237" t="s">
        <v>540</v>
      </c>
      <c r="F59" s="249" t="s">
        <v>497</v>
      </c>
      <c r="G59" s="245">
        <v>3.4961933000000001E-2</v>
      </c>
      <c r="H59" s="250">
        <v>51.137872897834605</v>
      </c>
      <c r="I59" s="251"/>
      <c r="J59" s="251"/>
      <c r="K59" s="251"/>
      <c r="L59" s="251"/>
    </row>
    <row r="60" spans="1:20" s="244" customFormat="1">
      <c r="A60" s="233" t="s">
        <v>643</v>
      </c>
      <c r="B60" s="234" t="s">
        <v>438</v>
      </c>
      <c r="C60" s="235" t="s">
        <v>343</v>
      </c>
      <c r="D60" s="247">
        <v>0.5</v>
      </c>
      <c r="E60" s="237" t="s">
        <v>567</v>
      </c>
      <c r="F60" s="249" t="s">
        <v>502</v>
      </c>
      <c r="G60" s="245">
        <v>0.11774149</v>
      </c>
      <c r="H60" s="250">
        <v>125.3715286226643</v>
      </c>
      <c r="I60" s="251"/>
      <c r="J60" s="251"/>
      <c r="K60" s="251"/>
      <c r="L60" s="251"/>
    </row>
    <row r="61" spans="1:20" s="244" customFormat="1">
      <c r="A61" s="233" t="s">
        <v>643</v>
      </c>
      <c r="B61" s="234" t="s">
        <v>438</v>
      </c>
      <c r="C61" s="235" t="s">
        <v>57</v>
      </c>
      <c r="D61" s="236">
        <v>2</v>
      </c>
      <c r="E61" s="237" t="s">
        <v>572</v>
      </c>
      <c r="F61" s="249" t="s">
        <v>585</v>
      </c>
      <c r="G61" s="245">
        <v>0.14324999999999999</v>
      </c>
      <c r="H61" s="250">
        <v>178.6164082908914</v>
      </c>
      <c r="I61" s="251"/>
      <c r="J61" s="251"/>
      <c r="K61" s="251"/>
      <c r="L61" s="251"/>
    </row>
    <row r="62" spans="1:20" s="244" customFormat="1">
      <c r="A62" s="233" t="s">
        <v>643</v>
      </c>
      <c r="B62" s="234" t="s">
        <v>438</v>
      </c>
      <c r="C62" s="235" t="s">
        <v>160</v>
      </c>
      <c r="D62" s="236">
        <v>3</v>
      </c>
      <c r="E62" s="237" t="s">
        <v>573</v>
      </c>
      <c r="F62" s="249" t="s">
        <v>586</v>
      </c>
      <c r="G62" s="245">
        <v>0.22940548999999999</v>
      </c>
      <c r="H62" s="250">
        <v>279.27793217704232</v>
      </c>
      <c r="I62" s="251"/>
      <c r="J62" s="251"/>
      <c r="K62" s="251"/>
      <c r="L62" s="251"/>
    </row>
    <row r="63" spans="1:20">
      <c r="A63" s="71" t="s">
        <v>642</v>
      </c>
      <c r="B63" s="89" t="s">
        <v>456</v>
      </c>
      <c r="C63" s="84" t="s">
        <v>44</v>
      </c>
      <c r="D63" s="191" t="s">
        <v>199</v>
      </c>
      <c r="E63" s="112" t="s">
        <v>532</v>
      </c>
      <c r="F63" s="232" t="s">
        <v>490</v>
      </c>
      <c r="G63" s="69">
        <v>0.32056327000000001</v>
      </c>
      <c r="H63" s="70">
        <v>377.3963270941411</v>
      </c>
      <c r="I63" s="197">
        <v>0.22439428900000002</v>
      </c>
      <c r="J63" s="197">
        <v>0.416732251</v>
      </c>
      <c r="K63" s="198">
        <v>264.1774289658988</v>
      </c>
      <c r="L63" s="198">
        <v>490.6152252223834</v>
      </c>
      <c r="M63" s="160">
        <f>L63-H63</f>
        <v>113.2188981282423</v>
      </c>
      <c r="N63" s="160">
        <f>H63-K63</f>
        <v>113.2188981282423</v>
      </c>
      <c r="O63" s="159">
        <f>J63-G63</f>
        <v>9.6168980999999987E-2</v>
      </c>
      <c r="P63" s="159">
        <f>G63-I63</f>
        <v>9.6168980999999987E-2</v>
      </c>
      <c r="Q63" s="71"/>
      <c r="R63" s="161">
        <f>G63*1000</f>
        <v>320.56326999999999</v>
      </c>
      <c r="S63" s="161">
        <f t="shared" ref="S63:T66" si="21">O63*1000</f>
        <v>96.168980999999988</v>
      </c>
      <c r="T63" s="161">
        <f t="shared" si="21"/>
        <v>96.168980999999988</v>
      </c>
    </row>
    <row r="64" spans="1:20">
      <c r="A64" s="71" t="s">
        <v>642</v>
      </c>
      <c r="B64" s="65" t="s">
        <v>456</v>
      </c>
      <c r="C64" s="66" t="s">
        <v>31</v>
      </c>
      <c r="D64" s="191" t="s">
        <v>199</v>
      </c>
      <c r="E64" s="112" t="s">
        <v>531</v>
      </c>
      <c r="F64" s="232" t="s">
        <v>484</v>
      </c>
      <c r="G64" s="69">
        <v>775.54660000000001</v>
      </c>
      <c r="H64" s="70">
        <v>507526.39109325997</v>
      </c>
      <c r="I64" s="197">
        <v>542.88262000000009</v>
      </c>
      <c r="J64" s="197">
        <v>1008.2105799999999</v>
      </c>
      <c r="K64" s="198">
        <v>355268.47376528196</v>
      </c>
      <c r="L64" s="198">
        <v>659784.30842123798</v>
      </c>
      <c r="M64" s="160">
        <f>L64-H64</f>
        <v>152257.91732797801</v>
      </c>
      <c r="N64" s="160">
        <f>H64-K64</f>
        <v>152257.91732797801</v>
      </c>
      <c r="O64" s="159">
        <f>J64-G64</f>
        <v>232.66397999999992</v>
      </c>
      <c r="P64" s="159">
        <f>G64-I64</f>
        <v>232.66397999999992</v>
      </c>
      <c r="Q64" s="71"/>
      <c r="R64" s="161">
        <f>G64*1000</f>
        <v>775546.6</v>
      </c>
      <c r="S64" s="161">
        <f t="shared" si="21"/>
        <v>232663.97999999992</v>
      </c>
      <c r="T64" s="161">
        <f t="shared" si="21"/>
        <v>232663.97999999992</v>
      </c>
    </row>
    <row r="65" spans="1:28">
      <c r="A65" s="71" t="s">
        <v>642</v>
      </c>
      <c r="B65" s="65" t="s">
        <v>456</v>
      </c>
      <c r="C65" s="66" t="s">
        <v>2</v>
      </c>
      <c r="D65" s="191" t="s">
        <v>201</v>
      </c>
      <c r="E65" s="112" t="s">
        <v>522</v>
      </c>
      <c r="F65" s="232" t="s">
        <v>479</v>
      </c>
      <c r="G65" s="69">
        <v>679.59412999999995</v>
      </c>
      <c r="H65" s="70">
        <v>800080.21498625923</v>
      </c>
      <c r="I65" s="197">
        <v>543.67530399999998</v>
      </c>
      <c r="J65" s="197">
        <v>815.51295599999992</v>
      </c>
      <c r="K65" s="198">
        <v>640064.17198900739</v>
      </c>
      <c r="L65" s="198">
        <v>960096.25798351108</v>
      </c>
      <c r="M65" s="160">
        <f>L65-H65</f>
        <v>160016.04299725185</v>
      </c>
      <c r="N65" s="160">
        <f>H65-K65</f>
        <v>160016.04299725185</v>
      </c>
      <c r="O65" s="159">
        <f>J65-G65</f>
        <v>135.91882599999997</v>
      </c>
      <c r="P65" s="159">
        <f>G65-I65</f>
        <v>135.91882599999997</v>
      </c>
      <c r="Q65" s="71"/>
      <c r="R65" s="161">
        <f>G65*1000</f>
        <v>679594.13</v>
      </c>
      <c r="S65" s="161">
        <f t="shared" si="21"/>
        <v>135918.82599999997</v>
      </c>
      <c r="T65" s="161">
        <f t="shared" si="21"/>
        <v>135918.82599999997</v>
      </c>
    </row>
    <row r="66" spans="1:28" ht="15" thickBot="1">
      <c r="A66" s="71" t="s">
        <v>642</v>
      </c>
      <c r="B66" s="73" t="s">
        <v>456</v>
      </c>
      <c r="C66" s="74" t="s">
        <v>34</v>
      </c>
      <c r="D66" s="192" t="s">
        <v>199</v>
      </c>
      <c r="E66" s="116" t="s">
        <v>530</v>
      </c>
      <c r="F66" s="232" t="s">
        <v>483</v>
      </c>
      <c r="G66" s="77">
        <v>4285.6630999999998</v>
      </c>
      <c r="H66" s="78">
        <v>2506405.3195711151</v>
      </c>
      <c r="I66" s="197">
        <v>2999.9641700000002</v>
      </c>
      <c r="J66" s="197">
        <v>5571.3620299999993</v>
      </c>
      <c r="K66" s="198">
        <v>1754483.7236997806</v>
      </c>
      <c r="L66" s="198">
        <v>3258326.9154424495</v>
      </c>
      <c r="M66" s="160">
        <f>L66-H66</f>
        <v>751921.59587133443</v>
      </c>
      <c r="N66" s="160">
        <f>H66-K66</f>
        <v>751921.59587133443</v>
      </c>
      <c r="O66" s="159">
        <f>J66-G66</f>
        <v>1285.6989299999996</v>
      </c>
      <c r="P66" s="159">
        <f>G66-I66</f>
        <v>1285.6989299999996</v>
      </c>
      <c r="Q66" s="71"/>
      <c r="R66" s="161">
        <f>G66*1000</f>
        <v>4285663.0999999996</v>
      </c>
      <c r="S66" s="161">
        <f t="shared" si="21"/>
        <v>1285698.9299999995</v>
      </c>
      <c r="T66" s="161">
        <f t="shared" si="21"/>
        <v>1285698.9299999995</v>
      </c>
    </row>
    <row r="72" spans="1:28">
      <c r="U72" s="51" t="s">
        <v>659</v>
      </c>
      <c r="V72" s="71"/>
      <c r="W72" s="71"/>
      <c r="X72" s="134"/>
      <c r="Y72" s="134"/>
      <c r="Z72" s="134"/>
      <c r="AB72" s="51" t="s">
        <v>674</v>
      </c>
    </row>
    <row r="73" spans="1:28">
      <c r="U73" s="199" t="s">
        <v>660</v>
      </c>
      <c r="V73" s="199" t="s">
        <v>661</v>
      </c>
      <c r="W73" s="200" t="s">
        <v>662</v>
      </c>
      <c r="X73" s="201">
        <v>193.34399999999999</v>
      </c>
      <c r="Y73" s="202">
        <v>636</v>
      </c>
      <c r="Z73" s="203">
        <v>0.30399999999999999</v>
      </c>
      <c r="AA73" s="204" t="s">
        <v>663</v>
      </c>
      <c r="AB73" s="205">
        <v>20.586282301752316</v>
      </c>
    </row>
    <row r="74" spans="1:28">
      <c r="U74" s="199" t="s">
        <v>664</v>
      </c>
      <c r="V74" s="199" t="s">
        <v>665</v>
      </c>
      <c r="W74" s="200" t="s">
        <v>666</v>
      </c>
      <c r="X74" s="201">
        <v>124.976</v>
      </c>
      <c r="Y74" s="201">
        <v>292</v>
      </c>
      <c r="Z74" s="203">
        <v>0.42799999999999999</v>
      </c>
      <c r="AA74" s="204" t="s">
        <v>663</v>
      </c>
      <c r="AB74" s="205">
        <v>62.686596856596466</v>
      </c>
    </row>
    <row r="75" spans="1:28">
      <c r="U75" s="206" t="s">
        <v>667</v>
      </c>
      <c r="V75" s="206" t="s">
        <v>665</v>
      </c>
      <c r="W75" s="200" t="s">
        <v>668</v>
      </c>
      <c r="X75" s="201">
        <v>235.45000000000002</v>
      </c>
      <c r="Y75" s="202">
        <v>425</v>
      </c>
      <c r="Z75" s="203">
        <v>0.55400000000000005</v>
      </c>
      <c r="AA75" s="204" t="s">
        <v>663</v>
      </c>
      <c r="AB75" s="205">
        <v>53.347815338925464</v>
      </c>
    </row>
    <row r="76" spans="1:28">
      <c r="U76" s="51" t="s">
        <v>670</v>
      </c>
      <c r="V76" s="71" t="s">
        <v>671</v>
      </c>
      <c r="W76" s="207" t="s">
        <v>669</v>
      </c>
      <c r="X76" s="201">
        <v>92.353999999999999</v>
      </c>
      <c r="Y76" s="201">
        <v>122</v>
      </c>
      <c r="Z76" s="208">
        <v>0.75700000000000001</v>
      </c>
      <c r="AA76" s="204" t="s">
        <v>663</v>
      </c>
      <c r="AB76" s="205">
        <v>178.9955677027543</v>
      </c>
    </row>
    <row r="77" spans="1:28">
      <c r="V77" s="71"/>
      <c r="W77" s="71"/>
      <c r="X77" s="134"/>
      <c r="Y77" s="134"/>
      <c r="Z77" s="134"/>
      <c r="AA77" s="134"/>
    </row>
    <row r="78" spans="1:28">
      <c r="V78" s="71"/>
      <c r="W78" s="71"/>
      <c r="X78" s="134"/>
      <c r="Y78" s="134"/>
      <c r="Z78" s="134"/>
      <c r="AA78" s="134"/>
    </row>
    <row r="79" spans="1:28">
      <c r="U79" s="51" t="s">
        <v>673</v>
      </c>
      <c r="V79" s="71"/>
      <c r="W79" s="207"/>
      <c r="X79" s="201"/>
      <c r="Y79" s="201"/>
      <c r="Z79" s="208"/>
      <c r="AA79" s="204"/>
      <c r="AB79" s="205">
        <v>89.29</v>
      </c>
    </row>
    <row r="80" spans="1:28">
      <c r="U80" s="134"/>
      <c r="V80" s="134"/>
      <c r="W80" s="134"/>
      <c r="X80" s="134"/>
    </row>
    <row r="115" spans="3:12" ht="15" thickBot="1">
      <c r="J115" s="226"/>
    </row>
    <row r="116" spans="3:12">
      <c r="C116" s="259"/>
      <c r="D116" s="260"/>
      <c r="E116" s="261"/>
      <c r="F116" s="261"/>
      <c r="G116" s="276"/>
      <c r="H116" s="262" t="s">
        <v>715</v>
      </c>
      <c r="I116" s="277">
        <v>8570000</v>
      </c>
      <c r="J116" s="226"/>
    </row>
    <row r="117" spans="3:12">
      <c r="C117" s="263"/>
      <c r="D117" s="264"/>
      <c r="E117" s="265"/>
      <c r="F117" s="265"/>
      <c r="G117" s="273"/>
      <c r="H117" s="80" t="s">
        <v>716</v>
      </c>
      <c r="I117" s="278">
        <f>'Limites pour etre durable'!B10</f>
        <v>23400000</v>
      </c>
      <c r="J117" s="226"/>
    </row>
    <row r="118" spans="3:12">
      <c r="C118" s="263" t="s">
        <v>647</v>
      </c>
      <c r="D118" s="264"/>
      <c r="E118" s="265"/>
      <c r="F118" s="265"/>
      <c r="G118" s="274" t="s">
        <v>701</v>
      </c>
      <c r="H118" s="266" t="s">
        <v>641</v>
      </c>
      <c r="I118" s="279" t="s">
        <v>730</v>
      </c>
      <c r="J118" s="226"/>
    </row>
    <row r="119" spans="3:12">
      <c r="C119" s="267" t="s">
        <v>706</v>
      </c>
      <c r="D119" s="264"/>
      <c r="E119" s="265"/>
      <c r="F119" s="265"/>
      <c r="G119" s="275">
        <v>775.21687262399996</v>
      </c>
      <c r="H119" s="268">
        <v>507066.03830101131</v>
      </c>
      <c r="I119" s="280">
        <f>H119*I$116/I$117</f>
        <v>185707.51915554132</v>
      </c>
      <c r="J119" s="226"/>
    </row>
    <row r="120" spans="3:12">
      <c r="C120" s="267" t="s">
        <v>713</v>
      </c>
      <c r="D120" s="264"/>
      <c r="E120" s="265"/>
      <c r="F120" s="265"/>
      <c r="G120" s="275">
        <f>1599.983092*1800/4000</f>
        <v>719.99239139999997</v>
      </c>
      <c r="H120" s="268">
        <f>1075137.44300017*1800/4000</f>
        <v>483811.84935007652</v>
      </c>
      <c r="I120" s="281">
        <f>H120*I$116/I$117</f>
        <v>177190.92089445109</v>
      </c>
      <c r="K120" s="224">
        <f>4000/2.23</f>
        <v>1793.7219730941704</v>
      </c>
      <c r="L120" s="225" t="s">
        <v>708</v>
      </c>
    </row>
    <row r="121" spans="3:12">
      <c r="C121" s="267" t="s">
        <v>707</v>
      </c>
      <c r="D121" s="264"/>
      <c r="E121" s="265"/>
      <c r="F121" s="265"/>
      <c r="G121" s="275">
        <f>35.3333333333333*7/5</f>
        <v>49.466666666666619</v>
      </c>
      <c r="H121" s="268">
        <f>116636.833333333*7/5</f>
        <v>163291.56666666619</v>
      </c>
      <c r="I121" s="281">
        <f>H121*I$116/I$117</f>
        <v>59803.791723646544</v>
      </c>
      <c r="J121" s="226"/>
    </row>
    <row r="122" spans="3:12">
      <c r="C122" s="267" t="s">
        <v>725</v>
      </c>
      <c r="D122" s="264"/>
      <c r="E122" s="265"/>
      <c r="F122" s="265"/>
      <c r="G122" s="275">
        <f>1536.725331744/12</f>
        <v>128.06044431199999</v>
      </c>
      <c r="H122" s="268">
        <f>1808740.25329839/12</f>
        <v>150728.35444153249</v>
      </c>
      <c r="I122" s="281">
        <f>H122*I$116/I$117</f>
        <v>55202.649468544158</v>
      </c>
      <c r="J122" s="226"/>
    </row>
    <row r="123" spans="3:12">
      <c r="C123" s="267" t="s">
        <v>714</v>
      </c>
      <c r="D123" s="264"/>
      <c r="E123" s="265"/>
      <c r="F123" s="265"/>
      <c r="G123" s="275">
        <f>103.5566023/2</f>
        <v>51.778301149999997</v>
      </c>
      <c r="H123" s="268">
        <f>116309.692989095/2</f>
        <v>58154.846494547499</v>
      </c>
      <c r="I123" s="281">
        <f>H123*I$116/I$117</f>
        <v>21298.591216165474</v>
      </c>
      <c r="J123" s="226"/>
    </row>
    <row r="124" spans="3:12">
      <c r="C124" s="267" t="s">
        <v>722</v>
      </c>
      <c r="D124" s="264"/>
      <c r="E124" s="265"/>
      <c r="F124" s="265"/>
      <c r="G124" s="275">
        <f>2.75*10</f>
        <v>27.5</v>
      </c>
      <c r="H124" s="268">
        <f>3101.58916576697*10</f>
        <v>31015.891657669701</v>
      </c>
      <c r="I124" s="281">
        <f>H124*I$116/I$117</f>
        <v>11359.238953257664</v>
      </c>
      <c r="J124" s="226"/>
    </row>
    <row r="125" spans="3:12">
      <c r="C125" s="267" t="s">
        <v>645</v>
      </c>
      <c r="D125" s="264"/>
      <c r="E125" s="265"/>
      <c r="F125" s="265"/>
      <c r="G125" s="275">
        <v>14.946189829333333</v>
      </c>
      <c r="H125" s="268">
        <v>30257.701145759478</v>
      </c>
      <c r="I125" s="281">
        <f>H125*I$116/I$117</f>
        <v>11081.559778596527</v>
      </c>
      <c r="J125" s="226"/>
    </row>
    <row r="126" spans="3:12">
      <c r="C126" s="267" t="s">
        <v>717</v>
      </c>
      <c r="D126" s="264"/>
      <c r="E126" s="265"/>
      <c r="F126" s="265"/>
      <c r="G126" s="275">
        <v>19.039304177999998</v>
      </c>
      <c r="H126" s="268">
        <v>19481.119109042858</v>
      </c>
      <c r="I126" s="281">
        <f>H126*I$116/I$117</f>
        <v>7134.7517420725335</v>
      </c>
      <c r="J126" s="226"/>
    </row>
    <row r="127" spans="3:12">
      <c r="C127" s="267" t="s">
        <v>703</v>
      </c>
      <c r="D127" s="264"/>
      <c r="E127" s="265"/>
      <c r="F127" s="265"/>
      <c r="G127" s="275">
        <v>17.057427999999998</v>
      </c>
      <c r="H127" s="268">
        <v>17658.465883232315</v>
      </c>
      <c r="I127" s="281">
        <f>H127*I$116/I$117</f>
        <v>6467.2244709102961</v>
      </c>
      <c r="J127" s="226"/>
    </row>
    <row r="128" spans="3:12">
      <c r="C128" s="267" t="s">
        <v>702</v>
      </c>
      <c r="D128" s="264"/>
      <c r="E128" s="265"/>
      <c r="F128" s="265"/>
      <c r="G128" s="275">
        <v>13.138423</v>
      </c>
      <c r="H128" s="268">
        <v>15361.171965251157</v>
      </c>
      <c r="I128" s="281">
        <f>H128*I$116/I$117</f>
        <v>5625.8651171881374</v>
      </c>
      <c r="J128" s="226"/>
    </row>
    <row r="129" spans="3:10">
      <c r="C129" s="267" t="s">
        <v>723</v>
      </c>
      <c r="D129" s="264"/>
      <c r="E129" s="265"/>
      <c r="F129" s="265"/>
      <c r="G129" s="275">
        <v>10.545</v>
      </c>
      <c r="H129" s="268">
        <v>11925.649612821006</v>
      </c>
      <c r="I129" s="281">
        <f>H129*I$116/I$117</f>
        <v>4367.641759909232</v>
      </c>
      <c r="J129" s="227" t="s">
        <v>733</v>
      </c>
    </row>
    <row r="130" spans="3:10">
      <c r="C130" s="267"/>
      <c r="D130" s="264"/>
      <c r="E130" s="265"/>
      <c r="F130" s="265"/>
      <c r="G130" s="275"/>
      <c r="H130" s="268"/>
      <c r="I130" s="281"/>
      <c r="J130" s="226"/>
    </row>
    <row r="131" spans="3:10">
      <c r="C131" s="267" t="s">
        <v>709</v>
      </c>
      <c r="D131" s="264"/>
      <c r="E131" s="265"/>
      <c r="F131" s="265"/>
      <c r="G131" s="275">
        <v>641.12654000000009</v>
      </c>
      <c r="H131" s="268">
        <v>754792.65418828221</v>
      </c>
      <c r="I131" s="281">
        <f>H131*I$116/I$117</f>
        <v>276434.74557237513</v>
      </c>
      <c r="J131" s="226"/>
    </row>
    <row r="132" spans="3:10">
      <c r="C132" s="267" t="s">
        <v>710</v>
      </c>
      <c r="D132" s="264"/>
      <c r="E132" s="265"/>
      <c r="F132" s="265"/>
      <c r="G132" s="275">
        <f>G131</f>
        <v>641.12654000000009</v>
      </c>
      <c r="H132" s="268">
        <f>H131</f>
        <v>754792.65418828221</v>
      </c>
      <c r="I132" s="281">
        <f>H132*I$116/I$117</f>
        <v>276434.74557237513</v>
      </c>
      <c r="J132" s="226"/>
    </row>
    <row r="133" spans="3:10">
      <c r="C133" s="267" t="s">
        <v>704</v>
      </c>
      <c r="D133" s="264"/>
      <c r="E133" s="265"/>
      <c r="F133" s="265"/>
      <c r="G133" s="275">
        <v>370.89959399999998</v>
      </c>
      <c r="H133" s="268">
        <v>707041.85551195324</v>
      </c>
      <c r="I133" s="281">
        <f>H133*I$116/I$117</f>
        <v>258946.5257152752</v>
      </c>
      <c r="J133" s="226"/>
    </row>
    <row r="134" spans="3:10">
      <c r="C134" s="267" t="s">
        <v>732</v>
      </c>
      <c r="D134" s="264"/>
      <c r="E134" s="265"/>
      <c r="F134" s="265"/>
      <c r="G134" s="275">
        <f>1179.6728336/4</f>
        <v>294.91820840000003</v>
      </c>
      <c r="H134" s="268">
        <f>1388818.48370644/4</f>
        <v>347204.62092661002</v>
      </c>
      <c r="I134" s="281">
        <f>H134*I$116/I$117</f>
        <v>127159.98296329264</v>
      </c>
    </row>
    <row r="135" spans="3:10">
      <c r="C135" s="267" t="s">
        <v>695</v>
      </c>
      <c r="D135" s="264"/>
      <c r="E135" s="265"/>
      <c r="F135" s="265"/>
      <c r="G135" s="275">
        <v>46.172784700000001</v>
      </c>
      <c r="H135" s="268">
        <v>144424.65413855371</v>
      </c>
      <c r="I135" s="281">
        <f>H135*I$116/I$117</f>
        <v>52893.986579803641</v>
      </c>
      <c r="J135" s="226"/>
    </row>
    <row r="136" spans="3:10" ht="15" thickBot="1">
      <c r="C136" s="269" t="s">
        <v>705</v>
      </c>
      <c r="D136" s="270"/>
      <c r="E136" s="271"/>
      <c r="F136" s="271"/>
      <c r="G136" s="282">
        <v>11.108746</v>
      </c>
      <c r="H136" s="272">
        <v>22280.253898076549</v>
      </c>
      <c r="I136" s="283">
        <f>H136*I$116/I$117</f>
        <v>8159.9049532699155</v>
      </c>
      <c r="J136" s="226"/>
    </row>
    <row r="137" spans="3:10" ht="15" thickBot="1">
      <c r="C137" s="284" t="s">
        <v>727</v>
      </c>
      <c r="D137" s="285"/>
      <c r="E137" s="286"/>
      <c r="F137" s="286"/>
      <c r="G137" s="287">
        <f>G131*100/(200*10)</f>
        <v>32.056327000000003</v>
      </c>
      <c r="H137" s="287">
        <f>H131*100/(200*10)</f>
        <v>37739.632709414109</v>
      </c>
      <c r="I137" s="288"/>
      <c r="J137" s="226"/>
    </row>
    <row r="138" spans="3:10" ht="15" thickBot="1">
      <c r="C138" s="284" t="s">
        <v>729</v>
      </c>
      <c r="D138" s="285"/>
      <c r="E138" s="286"/>
      <c r="F138" s="286"/>
      <c r="G138" s="289">
        <f>G131/(200*10)</f>
        <v>0.32056327000000007</v>
      </c>
      <c r="H138" s="287">
        <f>H131/(200*10)</f>
        <v>377.3963270941411</v>
      </c>
      <c r="I138" s="288"/>
      <c r="J138" s="226"/>
    </row>
    <row r="139" spans="3:10" ht="15" thickBot="1">
      <c r="C139" s="284" t="s">
        <v>731</v>
      </c>
      <c r="D139" s="285"/>
      <c r="E139" s="286"/>
      <c r="F139" s="286"/>
      <c r="G139" s="287">
        <f>G135</f>
        <v>46.172784700000001</v>
      </c>
      <c r="H139" s="287">
        <f>H135</f>
        <v>144424.65413855371</v>
      </c>
      <c r="I139" s="288"/>
      <c r="J139" s="226"/>
    </row>
    <row r="140" spans="3:10" ht="15" thickBot="1">
      <c r="C140" s="284" t="s">
        <v>728</v>
      </c>
      <c r="D140" s="285"/>
      <c r="E140" s="286"/>
      <c r="F140" s="286"/>
      <c r="G140" s="287">
        <f>G135/365</f>
        <v>0.12650078000000001</v>
      </c>
      <c r="H140" s="287">
        <f>H135/365</f>
        <v>395.68398394124307</v>
      </c>
      <c r="I140" s="288"/>
      <c r="J140" s="226"/>
    </row>
    <row r="141" spans="3:10">
      <c r="C141" s="71"/>
      <c r="G141" s="223"/>
      <c r="H141" s="161"/>
      <c r="I141" s="226"/>
      <c r="J141" s="226"/>
    </row>
    <row r="142" spans="3:10">
      <c r="C142" s="71" t="s">
        <v>658</v>
      </c>
      <c r="G142" s="223"/>
      <c r="H142" s="161">
        <v>448767.12328767125</v>
      </c>
      <c r="I142" s="226"/>
      <c r="J142" s="226"/>
    </row>
    <row r="143" spans="3:10">
      <c r="C143" s="71" t="s">
        <v>657</v>
      </c>
      <c r="G143" s="223"/>
      <c r="H143" s="161">
        <v>149589.0410958904</v>
      </c>
      <c r="I143" s="226"/>
      <c r="J143" s="226"/>
    </row>
    <row r="144" spans="3:10">
      <c r="C144" s="71" t="s">
        <v>724</v>
      </c>
      <c r="H144" s="161">
        <f>'Limites pour etre durable'!C10</f>
        <v>7800000</v>
      </c>
      <c r="I144" s="226"/>
      <c r="J144" s="226"/>
    </row>
    <row r="145" spans="3:10">
      <c r="C145" s="71" t="s">
        <v>657</v>
      </c>
      <c r="H145" s="161">
        <f>'Limites pour etre durable'!B10</f>
        <v>23400000</v>
      </c>
      <c r="I145" s="226"/>
      <c r="J145" s="226"/>
    </row>
    <row r="146" spans="3:10">
      <c r="I146" s="226"/>
      <c r="J146" s="226"/>
    </row>
    <row r="147" spans="3:10">
      <c r="C147" s="51"/>
      <c r="D147" s="51"/>
      <c r="G147" s="51"/>
      <c r="H147" s="51"/>
      <c r="I147" s="51"/>
      <c r="J147" s="226"/>
    </row>
    <row r="148" spans="3:10">
      <c r="I148" s="226"/>
      <c r="J148" s="226"/>
    </row>
    <row r="149" spans="3:10">
      <c r="I149" s="226"/>
      <c r="J149" s="226"/>
    </row>
    <row r="150" spans="3:10">
      <c r="C150" s="79" t="s">
        <v>726</v>
      </c>
      <c r="E150" s="189"/>
      <c r="F150" s="189" t="s">
        <v>690</v>
      </c>
      <c r="G150" s="51" t="s">
        <v>641</v>
      </c>
      <c r="H150" s="221" t="s">
        <v>689</v>
      </c>
    </row>
    <row r="151" spans="3:10">
      <c r="C151" s="71" t="s">
        <v>675</v>
      </c>
      <c r="E151" s="189"/>
      <c r="F151" s="255">
        <f>'Sous-datasets et Notes'!E33/6</f>
        <v>35.333333333333336</v>
      </c>
      <c r="G151" s="256">
        <f>'Sous-datasets et Notes'!F33/6</f>
        <v>116636.83333333333</v>
      </c>
      <c r="H151" s="71" t="s">
        <v>711</v>
      </c>
    </row>
    <row r="152" spans="3:10">
      <c r="C152" s="71" t="s">
        <v>645</v>
      </c>
      <c r="E152" s="189"/>
      <c r="F152" s="255">
        <f>('Sous-datasets et Notes'!E13+'Sous-datasets et Notes'!E14)/3</f>
        <v>14.946189829333333</v>
      </c>
      <c r="G152" s="255">
        <f>('Sous-datasets et Notes'!F13+'Sous-datasets et Notes'!F14)/3</f>
        <v>30257.701145759478</v>
      </c>
      <c r="H152" s="71" t="s">
        <v>712</v>
      </c>
    </row>
    <row r="153" spans="3:10">
      <c r="C153" s="71" t="s">
        <v>677</v>
      </c>
      <c r="D153" s="51"/>
      <c r="F153" s="255">
        <f>12*2*(2*100*G63-G18)</f>
        <v>1536.7253317440002</v>
      </c>
      <c r="G153" s="255">
        <f>12*2*(2*100*H63-H18)</f>
        <v>1808740.2532983853</v>
      </c>
      <c r="H153" s="71" t="s">
        <v>648</v>
      </c>
    </row>
    <row r="154" spans="3:10">
      <c r="C154" s="71" t="s">
        <v>678</v>
      </c>
      <c r="D154" s="51"/>
      <c r="F154" s="255">
        <f>G64-4*G18</f>
        <v>775.21687262399996</v>
      </c>
      <c r="G154" s="255">
        <f>H64-4*H18</f>
        <v>507066.03830101131</v>
      </c>
      <c r="H154" s="71" t="s">
        <v>672</v>
      </c>
    </row>
    <row r="155" spans="3:10">
      <c r="C155" s="71" t="s">
        <v>688</v>
      </c>
      <c r="E155" s="189"/>
      <c r="F155" s="255">
        <f>4000*('Sous-datasets et Notes'!E34-'Sous-datasets et Notes'!E35)</f>
        <v>1599.9830919999999</v>
      </c>
      <c r="G155" s="255">
        <f>4000*('Sous-datasets et Notes'!F34-'Sous-datasets et Notes'!F35)</f>
        <v>1075137.4430001695</v>
      </c>
      <c r="H155" s="71" t="s">
        <v>649</v>
      </c>
    </row>
    <row r="156" spans="3:10">
      <c r="C156" s="71" t="s">
        <v>646</v>
      </c>
      <c r="E156" s="189"/>
      <c r="F156" s="255">
        <f>365*6*G14</f>
        <v>19.039304177999998</v>
      </c>
      <c r="G156" s="255">
        <f>365*6*H14</f>
        <v>19481.119109042858</v>
      </c>
    </row>
    <row r="157" spans="3:10">
      <c r="C157" s="71" t="s">
        <v>679</v>
      </c>
      <c r="F157" s="256">
        <f>(G54-G50)*100</f>
        <v>13.138423</v>
      </c>
      <c r="G157" s="256">
        <f>(H54-H50)*100</f>
        <v>15361.171965251157</v>
      </c>
    </row>
    <row r="158" spans="3:10">
      <c r="C158" s="71" t="s">
        <v>682</v>
      </c>
      <c r="F158" s="255">
        <f>100*(G55-G50)</f>
        <v>17.057427999999998</v>
      </c>
      <c r="G158" s="255">
        <f>100*(H55-H50)</f>
        <v>17658.465883232315</v>
      </c>
    </row>
    <row r="159" spans="3:10">
      <c r="C159" s="71" t="s">
        <v>691</v>
      </c>
      <c r="F159" s="255">
        <f>G10</f>
        <v>2.75</v>
      </c>
      <c r="G159" s="255">
        <f>H10</f>
        <v>3101.5891657669667</v>
      </c>
    </row>
    <row r="160" spans="3:10">
      <c r="C160" s="71" t="s">
        <v>692</v>
      </c>
      <c r="F160" s="255">
        <f>G9*5</f>
        <v>10.545</v>
      </c>
      <c r="G160" s="255">
        <f>H9*5</f>
        <v>11925.649612821006</v>
      </c>
    </row>
    <row r="161" spans="3:8">
      <c r="C161" s="71" t="s">
        <v>693</v>
      </c>
      <c r="F161" s="255">
        <f>10*(G9-G7)*5</f>
        <v>103.55660229999998</v>
      </c>
      <c r="G161" s="255">
        <f>10*(H9-H7)*5</f>
        <v>116309.6929890946</v>
      </c>
    </row>
    <row r="162" spans="3:8">
      <c r="C162" s="71" t="s">
        <v>650</v>
      </c>
      <c r="F162" s="257"/>
      <c r="G162" s="258"/>
    </row>
    <row r="163" spans="3:8">
      <c r="C163" s="71"/>
      <c r="F163" s="257"/>
      <c r="G163" s="258"/>
    </row>
    <row r="164" spans="3:8">
      <c r="C164" s="71" t="s">
        <v>694</v>
      </c>
      <c r="F164" s="256">
        <f>G32/2*52</f>
        <v>370.89959399999998</v>
      </c>
      <c r="G164" s="256">
        <f>H32/2*52</f>
        <v>707041.85551195324</v>
      </c>
      <c r="H164" s="71" t="s">
        <v>651</v>
      </c>
    </row>
    <row r="165" spans="3:8">
      <c r="C165" s="71" t="s">
        <v>695</v>
      </c>
      <c r="F165" s="256">
        <f>G28*365</f>
        <v>46.172784700000001</v>
      </c>
      <c r="G165" s="256">
        <f>H28*365</f>
        <v>144424.65413855371</v>
      </c>
    </row>
    <row r="166" spans="3:8">
      <c r="C166" s="71" t="s">
        <v>696</v>
      </c>
      <c r="F166" s="256">
        <f>G63*5*2*200</f>
        <v>641.12654000000009</v>
      </c>
      <c r="G166" s="256">
        <f>H63*5*2*200</f>
        <v>754792.65418828221</v>
      </c>
    </row>
    <row r="167" spans="3:8">
      <c r="C167" s="71" t="s">
        <v>697</v>
      </c>
      <c r="E167" s="189"/>
      <c r="F167" s="256">
        <f>(G30+G31)/2</f>
        <v>11.108746</v>
      </c>
      <c r="G167" s="256">
        <f>(H30+H31)/2</f>
        <v>22280.253898076549</v>
      </c>
    </row>
    <row r="168" spans="3:8">
      <c r="C168" s="222" t="s">
        <v>700</v>
      </c>
      <c r="E168" s="189"/>
      <c r="F168" s="255">
        <f>2*40*46*G63</f>
        <v>1179.6728336000001</v>
      </c>
      <c r="G168" s="255">
        <f>2*40*46*H63</f>
        <v>1388818.4837064391</v>
      </c>
    </row>
    <row r="169" spans="3:8">
      <c r="C169" s="71" t="s">
        <v>657</v>
      </c>
      <c r="E169" s="189"/>
      <c r="F169" s="257"/>
      <c r="G169" s="256">
        <f>'Limites pour etre durable'!E10*7</f>
        <v>149589.0410958904</v>
      </c>
    </row>
    <row r="170" spans="3:8">
      <c r="C170" s="71" t="s">
        <v>658</v>
      </c>
      <c r="E170" s="189"/>
      <c r="F170" s="257"/>
      <c r="G170" s="256">
        <f>'Limites pour etre durable'!D10*7</f>
        <v>448767.12328767125</v>
      </c>
      <c r="H170" s="134"/>
    </row>
    <row r="175" spans="3:8">
      <c r="C175" s="252"/>
      <c r="D175" s="248"/>
      <c r="E175" s="248"/>
      <c r="F175" s="248"/>
      <c r="G175" s="248"/>
      <c r="H175" s="248"/>
    </row>
    <row r="176" spans="3:8">
      <c r="C176" s="248"/>
      <c r="D176" s="248"/>
      <c r="E176" s="248"/>
      <c r="F176" s="248"/>
      <c r="G176" s="248"/>
      <c r="H176" s="253"/>
    </row>
    <row r="177" spans="3:8">
      <c r="C177" s="248"/>
      <c r="D177" s="248"/>
      <c r="E177" s="248"/>
      <c r="F177" s="248"/>
      <c r="G177" s="248"/>
      <c r="H177" s="253"/>
    </row>
    <row r="178" spans="3:8">
      <c r="C178" s="248"/>
      <c r="D178" s="248"/>
      <c r="E178" s="248"/>
      <c r="F178" s="248"/>
      <c r="G178" s="248"/>
      <c r="H178" s="253"/>
    </row>
    <row r="179" spans="3:8">
      <c r="C179" s="254"/>
      <c r="D179" s="248"/>
      <c r="E179" s="248"/>
      <c r="F179" s="248"/>
      <c r="G179" s="248"/>
      <c r="H179" s="253"/>
    </row>
    <row r="180" spans="3:8">
      <c r="C180" s="248"/>
      <c r="D180" s="248"/>
      <c r="E180" s="248"/>
      <c r="F180" s="248"/>
      <c r="G180" s="248"/>
      <c r="H180" s="253"/>
    </row>
    <row r="181" spans="3:8">
      <c r="C181" s="248"/>
      <c r="D181" s="248"/>
      <c r="E181" s="248"/>
      <c r="F181" s="248"/>
      <c r="G181" s="248"/>
      <c r="H181" s="253"/>
    </row>
    <row r="182" spans="3:8">
      <c r="C182" s="248"/>
      <c r="D182" s="248"/>
      <c r="E182" s="248"/>
      <c r="F182" s="248"/>
      <c r="G182" s="248"/>
      <c r="H182" s="248"/>
    </row>
    <row r="183" spans="3:8">
      <c r="C183" s="248"/>
      <c r="D183" s="248"/>
      <c r="E183" s="248"/>
      <c r="F183" s="248"/>
      <c r="G183" s="248"/>
      <c r="H183" s="248"/>
    </row>
    <row r="184" spans="3:8">
      <c r="C184" s="248"/>
      <c r="D184" s="248"/>
      <c r="E184" s="248"/>
      <c r="F184" s="248"/>
      <c r="G184" s="248"/>
      <c r="H184" s="248"/>
    </row>
    <row r="185" spans="3:8">
      <c r="C185" s="248"/>
      <c r="D185" s="248"/>
      <c r="E185" s="248"/>
      <c r="F185" s="248"/>
      <c r="G185" s="248"/>
      <c r="H185" s="248"/>
    </row>
    <row r="186" spans="3:8">
      <c r="C186" s="248"/>
      <c r="D186" s="248"/>
      <c r="E186" s="248"/>
      <c r="F186" s="248"/>
      <c r="G186" s="248"/>
      <c r="H186" s="248"/>
    </row>
    <row r="187" spans="3:8">
      <c r="C187" s="248"/>
      <c r="D187" s="248"/>
      <c r="E187" s="248"/>
      <c r="F187" s="248"/>
      <c r="G187" s="248"/>
      <c r="H187" s="248"/>
    </row>
    <row r="188" spans="3:8">
      <c r="C188" s="248"/>
      <c r="D188" s="248"/>
      <c r="E188" s="248"/>
      <c r="F188" s="248"/>
      <c r="G188" s="248"/>
      <c r="H188" s="248"/>
    </row>
    <row r="189" spans="3:8">
      <c r="C189" s="248"/>
      <c r="D189" s="248"/>
      <c r="E189" s="248"/>
      <c r="F189" s="248"/>
      <c r="G189" s="248"/>
      <c r="H189" s="253"/>
    </row>
    <row r="190" spans="3:8">
      <c r="C190" s="248"/>
      <c r="D190" s="248"/>
      <c r="E190" s="248"/>
      <c r="F190" s="248"/>
      <c r="G190" s="248"/>
      <c r="H190" s="253"/>
    </row>
    <row r="191" spans="3:8">
      <c r="C191" s="248"/>
      <c r="D191" s="248"/>
      <c r="E191" s="248"/>
      <c r="F191" s="248"/>
      <c r="G191" s="248"/>
      <c r="H191" s="253"/>
    </row>
    <row r="192" spans="3:8">
      <c r="C192" s="248"/>
      <c r="D192" s="248"/>
      <c r="E192" s="248"/>
      <c r="F192" s="248"/>
      <c r="G192" s="248"/>
      <c r="H192" s="253"/>
    </row>
    <row r="193" spans="3:8">
      <c r="C193" s="248"/>
      <c r="D193" s="248"/>
      <c r="E193" s="248"/>
      <c r="F193" s="248"/>
      <c r="G193" s="248"/>
      <c r="H193" s="253"/>
    </row>
    <row r="194" spans="3:8">
      <c r="C194" s="248"/>
      <c r="D194" s="248"/>
      <c r="E194" s="248"/>
      <c r="F194" s="248"/>
      <c r="G194" s="248"/>
      <c r="H194" s="253"/>
    </row>
    <row r="195" spans="3:8">
      <c r="C195" s="248"/>
      <c r="D195" s="248"/>
      <c r="E195" s="248"/>
      <c r="F195" s="248"/>
      <c r="G195" s="248"/>
      <c r="H195" s="253"/>
    </row>
    <row r="196" spans="3:8">
      <c r="C196" s="248"/>
      <c r="D196" s="248"/>
      <c r="E196" s="248"/>
      <c r="F196" s="248"/>
      <c r="G196" s="248"/>
      <c r="H196" s="253"/>
    </row>
    <row r="197" spans="3:8">
      <c r="C197" s="248"/>
      <c r="D197" s="248"/>
      <c r="E197" s="248"/>
      <c r="F197" s="248"/>
      <c r="G197" s="248"/>
      <c r="H197" s="253"/>
    </row>
    <row r="198" spans="3:8">
      <c r="C198" s="248"/>
      <c r="D198" s="248"/>
      <c r="E198" s="248"/>
      <c r="F198" s="248"/>
      <c r="G198" s="248"/>
      <c r="H198" s="253"/>
    </row>
    <row r="199" spans="3:8">
      <c r="C199" s="248"/>
      <c r="D199" s="248"/>
      <c r="E199" s="248"/>
      <c r="F199" s="248"/>
      <c r="G199" s="248"/>
      <c r="H199" s="253"/>
    </row>
    <row r="200" spans="3:8">
      <c r="C200" s="248"/>
      <c r="D200" s="248"/>
      <c r="E200" s="248"/>
      <c r="F200" s="248"/>
      <c r="G200" s="248"/>
      <c r="H200" s="253"/>
    </row>
    <row r="201" spans="3:8">
      <c r="C201" s="248"/>
      <c r="D201" s="248"/>
      <c r="E201" s="248"/>
      <c r="F201" s="248"/>
      <c r="G201" s="248"/>
      <c r="H201" s="253"/>
    </row>
    <row r="202" spans="3:8">
      <c r="C202" s="248"/>
      <c r="D202" s="248"/>
      <c r="E202" s="248"/>
      <c r="F202" s="248"/>
      <c r="G202" s="248"/>
      <c r="H202" s="253"/>
    </row>
    <row r="203" spans="3:8">
      <c r="C203" s="248"/>
      <c r="D203" s="248"/>
      <c r="E203" s="248"/>
      <c r="F203" s="248"/>
      <c r="G203" s="248"/>
      <c r="H203" s="253"/>
    </row>
    <row r="204" spans="3:8">
      <c r="C204" s="248"/>
      <c r="D204" s="248"/>
      <c r="E204" s="248"/>
      <c r="F204" s="248"/>
      <c r="G204" s="248"/>
      <c r="H204" s="253"/>
    </row>
    <row r="205" spans="3:8">
      <c r="C205" s="248"/>
      <c r="D205" s="248"/>
      <c r="E205" s="248"/>
      <c r="F205" s="248"/>
      <c r="G205" s="248"/>
      <c r="H205" s="253"/>
    </row>
  </sheetData>
  <autoFilter ref="A2:T2"/>
  <mergeCells count="2">
    <mergeCell ref="I1:J1"/>
    <mergeCell ref="K1:L1"/>
  </mergeCells>
  <conditionalFormatting sqref="G2:H2">
    <cfRule type="dataBar" priority="11">
      <dataBar>
        <cfvo type="min"/>
        <cfvo type="max"/>
        <color rgb="FF638EC6"/>
      </dataBar>
      <extLst>
        <ext xmlns:x14="http://schemas.microsoft.com/office/spreadsheetml/2009/9/main" uri="{B025F937-C7B1-47D3-B67F-A62EFF666E3E}">
          <x14:id>{8B560A72-594D-4E47-BEC9-8FB2D8D6D2C7}</x14:id>
        </ext>
      </extLst>
    </cfRule>
  </conditionalFormatting>
  <conditionalFormatting sqref="E2:F2">
    <cfRule type="dataBar" priority="10">
      <dataBar>
        <cfvo type="min"/>
        <cfvo type="max"/>
        <color rgb="FF638EC6"/>
      </dataBar>
      <extLst>
        <ext xmlns:x14="http://schemas.microsoft.com/office/spreadsheetml/2009/9/main" uri="{B025F937-C7B1-47D3-B67F-A62EFF666E3E}">
          <x14:id>{28206C3A-C786-4E54-A3D4-1C2ABBEF9798}</x14:id>
        </ext>
      </extLst>
    </cfRule>
  </conditionalFormatting>
  <conditionalFormatting sqref="I1">
    <cfRule type="dataBar" priority="9">
      <dataBar>
        <cfvo type="min"/>
        <cfvo type="max"/>
        <color rgb="FF638EC6"/>
      </dataBar>
      <extLst>
        <ext xmlns:x14="http://schemas.microsoft.com/office/spreadsheetml/2009/9/main" uri="{B025F937-C7B1-47D3-B67F-A62EFF666E3E}">
          <x14:id>{2363A8AD-8FB0-4615-A706-2ADB31391F7F}</x14:id>
        </ext>
      </extLst>
    </cfRule>
  </conditionalFormatting>
  <conditionalFormatting sqref="K1">
    <cfRule type="dataBar" priority="8">
      <dataBar>
        <cfvo type="min"/>
        <cfvo type="max"/>
        <color rgb="FF638EC6"/>
      </dataBar>
      <extLst>
        <ext xmlns:x14="http://schemas.microsoft.com/office/spreadsheetml/2009/9/main" uri="{B025F937-C7B1-47D3-B67F-A62EFF666E3E}">
          <x14:id>{EEF066B2-A018-44F2-83AE-B438A94F7FEC}</x14:id>
        </ext>
      </extLst>
    </cfRule>
  </conditionalFormatting>
  <conditionalFormatting sqref="W73 AA73:AA75">
    <cfRule type="expression" dxfId="5" priority="7">
      <formula>MOD(ROW(),2)=0</formula>
    </cfRule>
  </conditionalFormatting>
  <conditionalFormatting sqref="W76 AA76:AB76">
    <cfRule type="expression" dxfId="4" priority="4">
      <formula>MOD(ROW(),2)=0</formula>
    </cfRule>
  </conditionalFormatting>
  <conditionalFormatting sqref="W74:W75">
    <cfRule type="expression" dxfId="3" priority="6">
      <formula>MOD(ROW(),2)=0</formula>
    </cfRule>
  </conditionalFormatting>
  <conditionalFormatting sqref="AB74:AB75">
    <cfRule type="expression" dxfId="2" priority="5">
      <formula>MOD(ROW(),2)=0</formula>
    </cfRule>
  </conditionalFormatting>
  <conditionalFormatting sqref="W79 AA79:AB79">
    <cfRule type="expression" dxfId="1" priority="2">
      <formula>MOD(ROW(),2)=0</formula>
    </cfRule>
  </conditionalFormatting>
  <conditionalFormatting sqref="AB73">
    <cfRule type="expression" dxfId="0" priority="1">
      <formula>MOD(ROW(),2)=0</formula>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dataBar" id="{8B560A72-594D-4E47-BEC9-8FB2D8D6D2C7}">
            <x14:dataBar minLength="0" maxLength="100" border="1" negativeBarBorderColorSameAsPositive="0">
              <x14:cfvo type="autoMin"/>
              <x14:cfvo type="autoMax"/>
              <x14:borderColor rgb="FF638EC6"/>
              <x14:negativeFillColor rgb="FFFF0000"/>
              <x14:negativeBorderColor rgb="FFFF0000"/>
              <x14:axisColor rgb="FF000000"/>
            </x14:dataBar>
          </x14:cfRule>
          <xm:sqref>G2:H2</xm:sqref>
        </x14:conditionalFormatting>
        <x14:conditionalFormatting xmlns:xm="http://schemas.microsoft.com/office/excel/2006/main">
          <x14:cfRule type="dataBar" id="{28206C3A-C786-4E54-A3D4-1C2ABBEF9798}">
            <x14:dataBar minLength="0" maxLength="100" border="1" negativeBarBorderColorSameAsPositive="0">
              <x14:cfvo type="autoMin"/>
              <x14:cfvo type="autoMax"/>
              <x14:borderColor rgb="FF638EC6"/>
              <x14:negativeFillColor rgb="FFFF0000"/>
              <x14:negativeBorderColor rgb="FFFF0000"/>
              <x14:axisColor rgb="FF000000"/>
            </x14:dataBar>
          </x14:cfRule>
          <xm:sqref>E2:F2</xm:sqref>
        </x14:conditionalFormatting>
        <x14:conditionalFormatting xmlns:xm="http://schemas.microsoft.com/office/excel/2006/main">
          <x14:cfRule type="dataBar" id="{2363A8AD-8FB0-4615-A706-2ADB31391F7F}">
            <x14:dataBar minLength="0" maxLength="100" border="1" negativeBarBorderColorSameAsPositive="0">
              <x14:cfvo type="autoMin"/>
              <x14:cfvo type="autoMax"/>
              <x14:borderColor rgb="FF638EC6"/>
              <x14:negativeFillColor rgb="FFFF0000"/>
              <x14:negativeBorderColor rgb="FFFF0000"/>
              <x14:axisColor rgb="FF000000"/>
            </x14:dataBar>
          </x14:cfRule>
          <xm:sqref>I1</xm:sqref>
        </x14:conditionalFormatting>
        <x14:conditionalFormatting xmlns:xm="http://schemas.microsoft.com/office/excel/2006/main">
          <x14:cfRule type="dataBar" id="{EEF066B2-A018-44F2-83AE-B438A94F7FEC}">
            <x14:dataBar minLength="0" maxLength="100" border="1" negativeBarBorderColorSameAsPositive="0">
              <x14:cfvo type="autoMin"/>
              <x14:cfvo type="autoMax"/>
              <x14:borderColor rgb="FF638EC6"/>
              <x14:negativeFillColor rgb="FFFF0000"/>
              <x14:negativeBorderColor rgb="FFFF0000"/>
              <x14:axisColor rgb="FF000000"/>
            </x14:dataBar>
          </x14:cfRule>
          <xm:sqref>K1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zoomScale="50" zoomScaleNormal="50" workbookViewId="0">
      <pane xSplit="4" ySplit="2" topLeftCell="E3" activePane="bottomRight" state="frozen"/>
      <selection pane="topRight" activeCell="E1" sqref="E1"/>
      <selection pane="bottomLeft" activeCell="A3" sqref="A3"/>
      <selection pane="bottomRight" activeCell="R67" sqref="R67"/>
    </sheetView>
  </sheetViews>
  <sheetFormatPr baseColWidth="10" defaultColWidth="10.6328125" defaultRowHeight="14.5"/>
  <cols>
    <col min="1" max="1" width="12" style="51" customWidth="1"/>
    <col min="2" max="2" width="43.1796875" style="79" customWidth="1"/>
    <col min="3" max="3" width="22.81640625" style="189" customWidth="1"/>
    <col min="4" max="4" width="11" style="51" customWidth="1"/>
    <col min="5" max="5" width="20.1796875" style="51" customWidth="1"/>
    <col min="6" max="7" width="11" style="71" customWidth="1"/>
    <col min="8" max="9" width="9.1796875" style="134" customWidth="1"/>
    <col min="10" max="11" width="9.453125" style="134" customWidth="1"/>
    <col min="12" max="12" width="15.453125" style="51" customWidth="1"/>
    <col min="13" max="13" width="12.81640625" style="51" customWidth="1"/>
    <col min="14" max="16" width="10.6328125" style="51"/>
    <col min="17" max="19" width="15.453125" style="51" bestFit="1" customWidth="1"/>
    <col min="20" max="16384" width="10.6328125" style="51"/>
  </cols>
  <sheetData>
    <row r="1" spans="1:19" ht="23.5">
      <c r="A1" s="56" t="s">
        <v>593</v>
      </c>
      <c r="B1" s="57"/>
      <c r="C1" s="185"/>
      <c r="D1" s="58"/>
      <c r="E1" s="58"/>
      <c r="F1" s="87"/>
      <c r="G1" s="87"/>
      <c r="H1" s="290" t="s">
        <v>60</v>
      </c>
      <c r="I1" s="291"/>
      <c r="J1" s="291" t="s">
        <v>611</v>
      </c>
      <c r="K1" s="292"/>
    </row>
    <row r="2" spans="1:19" s="64" customFormat="1">
      <c r="A2" s="60" t="s">
        <v>0</v>
      </c>
      <c r="B2" s="61" t="s">
        <v>147</v>
      </c>
      <c r="C2" s="186" t="s">
        <v>202</v>
      </c>
      <c r="D2" s="62" t="s">
        <v>60</v>
      </c>
      <c r="E2" s="111" t="s">
        <v>611</v>
      </c>
      <c r="F2" s="62" t="s">
        <v>60</v>
      </c>
      <c r="G2" s="118" t="s">
        <v>611</v>
      </c>
      <c r="H2" s="121" t="s">
        <v>563</v>
      </c>
      <c r="I2" s="122" t="s">
        <v>564</v>
      </c>
      <c r="J2" s="122" t="s">
        <v>563</v>
      </c>
      <c r="K2" s="123" t="s">
        <v>564</v>
      </c>
      <c r="L2" s="64" t="s">
        <v>613</v>
      </c>
      <c r="M2" s="64" t="s">
        <v>614</v>
      </c>
      <c r="N2" s="64" t="s">
        <v>594</v>
      </c>
      <c r="Q2" s="64" t="s">
        <v>595</v>
      </c>
      <c r="R2" s="64" t="s">
        <v>594</v>
      </c>
    </row>
    <row r="3" spans="1:19" s="71" customFormat="1">
      <c r="A3" s="65" t="s">
        <v>437</v>
      </c>
      <c r="B3" s="66" t="s">
        <v>171</v>
      </c>
      <c r="C3" s="191" t="s">
        <v>199</v>
      </c>
      <c r="D3" s="112" t="s">
        <v>526</v>
      </c>
      <c r="E3" s="113" t="s">
        <v>481</v>
      </c>
      <c r="F3" s="69">
        <v>1.2074647999999999E-3</v>
      </c>
      <c r="G3" s="119">
        <v>1.2354844729472301</v>
      </c>
      <c r="H3" s="124">
        <v>8.4522535999999998E-4</v>
      </c>
      <c r="I3" s="125">
        <v>1.5697042399999998E-3</v>
      </c>
      <c r="J3" s="128">
        <v>0.86483913106306098</v>
      </c>
      <c r="K3" s="129">
        <v>1.6061298148313992</v>
      </c>
      <c r="L3" s="160">
        <f t="shared" ref="L3:L27" si="0">K3-G3</f>
        <v>0.37064534188416909</v>
      </c>
      <c r="M3" s="160">
        <f>G3-J3</f>
        <v>0.37064534188416909</v>
      </c>
      <c r="N3" s="159">
        <f>I3-F3</f>
        <v>3.6223943999999985E-4</v>
      </c>
      <c r="O3" s="159">
        <f>F3-H3</f>
        <v>3.6223943999999996E-4</v>
      </c>
      <c r="Q3" s="161">
        <f>F3*1000</f>
        <v>1.2074647999999999</v>
      </c>
      <c r="R3" s="161">
        <f>N3*1000</f>
        <v>0.36223943999999986</v>
      </c>
      <c r="S3" s="161">
        <f>O3*1000</f>
        <v>0.36223943999999997</v>
      </c>
    </row>
    <row r="4" spans="1:19" s="71" customFormat="1">
      <c r="A4" s="65" t="s">
        <v>439</v>
      </c>
      <c r="B4" s="66" t="s">
        <v>166</v>
      </c>
      <c r="C4" s="190" t="s">
        <v>216</v>
      </c>
      <c r="D4" s="112" t="s">
        <v>535</v>
      </c>
      <c r="E4" s="113" t="s">
        <v>491</v>
      </c>
      <c r="F4" s="69">
        <v>3.19302E-3</v>
      </c>
      <c r="G4" s="119">
        <v>4.5681808878244601</v>
      </c>
      <c r="H4" s="124">
        <v>1.59651E-3</v>
      </c>
      <c r="I4" s="125">
        <v>4.7895300000000002E-3</v>
      </c>
      <c r="J4" s="126">
        <v>2.28409044391223</v>
      </c>
      <c r="K4" s="127">
        <v>6.8522713317366897</v>
      </c>
      <c r="L4" s="160">
        <f t="shared" si="0"/>
        <v>2.2840904439122296</v>
      </c>
      <c r="M4" s="160">
        <f t="shared" ref="M4:M49" si="1">G4-J4</f>
        <v>2.28409044391223</v>
      </c>
      <c r="N4" s="159">
        <f t="shared" ref="N4:N49" si="2">I4-F4</f>
        <v>1.5965100000000002E-3</v>
      </c>
      <c r="O4" s="159">
        <f t="shared" ref="O4:O49" si="3">F4-H4</f>
        <v>1.59651E-3</v>
      </c>
      <c r="Q4" s="161">
        <f t="shared" ref="Q4:Q49" si="4">F4*1000</f>
        <v>3.1930200000000002</v>
      </c>
      <c r="R4" s="161">
        <f t="shared" ref="R4:R49" si="5">N4*1000</f>
        <v>1.5965100000000001</v>
      </c>
      <c r="S4" s="161">
        <f t="shared" ref="S4:S49" si="6">O4*1000</f>
        <v>1.5965100000000001</v>
      </c>
    </row>
    <row r="5" spans="1:19" s="71" customFormat="1">
      <c r="A5" s="65" t="s">
        <v>38</v>
      </c>
      <c r="B5" s="66" t="s">
        <v>220</v>
      </c>
      <c r="C5" s="190" t="s">
        <v>216</v>
      </c>
      <c r="D5" s="112" t="s">
        <v>541</v>
      </c>
      <c r="E5" s="113" t="s">
        <v>498</v>
      </c>
      <c r="F5" s="69">
        <v>5.3150000000000003E-3</v>
      </c>
      <c r="G5" s="119">
        <v>7.8342110738352027</v>
      </c>
      <c r="H5" s="124">
        <v>2.6575000000000001E-3</v>
      </c>
      <c r="I5" s="125">
        <v>7.9725000000000004E-3</v>
      </c>
      <c r="J5" s="126">
        <v>3.9171055369176013</v>
      </c>
      <c r="K5" s="127">
        <v>11.751316610752804</v>
      </c>
      <c r="L5" s="160">
        <f t="shared" si="0"/>
        <v>3.9171055369176013</v>
      </c>
      <c r="M5" s="160">
        <f t="shared" si="1"/>
        <v>3.9171055369176013</v>
      </c>
      <c r="N5" s="159">
        <f t="shared" si="2"/>
        <v>2.6575000000000001E-3</v>
      </c>
      <c r="O5" s="159">
        <f t="shared" si="3"/>
        <v>2.6575000000000001E-3</v>
      </c>
      <c r="Q5" s="161">
        <f t="shared" si="4"/>
        <v>5.3150000000000004</v>
      </c>
      <c r="R5" s="161">
        <f t="shared" si="5"/>
        <v>2.6575000000000002</v>
      </c>
      <c r="S5" s="161">
        <f t="shared" si="6"/>
        <v>2.6575000000000002</v>
      </c>
    </row>
    <row r="6" spans="1:19" s="71" customFormat="1">
      <c r="A6" s="65" t="s">
        <v>438</v>
      </c>
      <c r="B6" s="84" t="s">
        <v>53</v>
      </c>
      <c r="C6" s="187" t="s">
        <v>200</v>
      </c>
      <c r="D6" s="112" t="s">
        <v>554</v>
      </c>
      <c r="E6" s="113" t="s">
        <v>511</v>
      </c>
      <c r="F6" s="69">
        <v>9.9516740000000006E-3</v>
      </c>
      <c r="G6" s="119">
        <v>8.4566888560873181</v>
      </c>
      <c r="H6" s="124">
        <v>4.9758370000000003E-3</v>
      </c>
      <c r="I6" s="125">
        <v>1.9903348000000001E-2</v>
      </c>
      <c r="J6" s="126">
        <v>4.2283444280436591</v>
      </c>
      <c r="K6" s="127">
        <v>16.913377712174636</v>
      </c>
      <c r="L6" s="160">
        <f t="shared" si="0"/>
        <v>8.4566888560873181</v>
      </c>
      <c r="M6" s="160">
        <f t="shared" si="1"/>
        <v>4.2283444280436591</v>
      </c>
      <c r="N6" s="159">
        <f t="shared" si="2"/>
        <v>9.9516740000000006E-3</v>
      </c>
      <c r="O6" s="159">
        <f t="shared" si="3"/>
        <v>4.9758370000000003E-3</v>
      </c>
      <c r="Q6" s="161">
        <f t="shared" si="4"/>
        <v>9.9516740000000006</v>
      </c>
      <c r="R6" s="161">
        <f t="shared" si="5"/>
        <v>9.9516740000000006</v>
      </c>
      <c r="S6" s="161">
        <f t="shared" si="6"/>
        <v>4.9758370000000003</v>
      </c>
    </row>
    <row r="7" spans="1:19" s="71" customFormat="1">
      <c r="A7" s="89" t="s">
        <v>437</v>
      </c>
      <c r="B7" s="84" t="s">
        <v>111</v>
      </c>
      <c r="C7" s="191" t="s">
        <v>266</v>
      </c>
      <c r="D7" s="112" t="s">
        <v>520</v>
      </c>
      <c r="E7" s="113" t="s">
        <v>478</v>
      </c>
      <c r="F7" s="69">
        <v>8.6937461999999997E-3</v>
      </c>
      <c r="G7" s="119">
        <v>8.8954881776451415</v>
      </c>
      <c r="H7" s="124">
        <v>7.8243715799999995E-3</v>
      </c>
      <c r="I7" s="125">
        <v>9.5631208199999998E-3</v>
      </c>
      <c r="J7" s="126">
        <v>8.0059393598806281</v>
      </c>
      <c r="K7" s="127">
        <v>9.785036995409655</v>
      </c>
      <c r="L7" s="160">
        <f t="shared" si="0"/>
        <v>0.88954881776451344</v>
      </c>
      <c r="M7" s="160">
        <f t="shared" si="1"/>
        <v>0.88954881776451344</v>
      </c>
      <c r="N7" s="159">
        <f t="shared" si="2"/>
        <v>8.6937462000000014E-4</v>
      </c>
      <c r="O7" s="159">
        <f t="shared" si="3"/>
        <v>8.6937462000000014E-4</v>
      </c>
      <c r="Q7" s="161">
        <f t="shared" si="4"/>
        <v>8.6937461999999996</v>
      </c>
      <c r="R7" s="161">
        <f t="shared" si="5"/>
        <v>0.8693746200000001</v>
      </c>
      <c r="S7" s="161">
        <f t="shared" si="6"/>
        <v>0.8693746200000001</v>
      </c>
    </row>
    <row r="8" spans="1:19" s="71" customFormat="1">
      <c r="A8" s="65" t="s">
        <v>439</v>
      </c>
      <c r="B8" s="66" t="s">
        <v>45</v>
      </c>
      <c r="C8" s="187" t="s">
        <v>200</v>
      </c>
      <c r="D8" s="112" t="s">
        <v>547</v>
      </c>
      <c r="E8" s="113" t="s">
        <v>474</v>
      </c>
      <c r="F8" s="69">
        <v>8.1682391000000003E-3</v>
      </c>
      <c r="G8" s="119">
        <v>10.499639063324402</v>
      </c>
      <c r="H8" s="124">
        <v>4.0841195500000002E-3</v>
      </c>
      <c r="I8" s="125">
        <v>1.6336478200000001E-2</v>
      </c>
      <c r="J8" s="126">
        <v>5.2498195316622009</v>
      </c>
      <c r="K8" s="127">
        <v>20.999278126648804</v>
      </c>
      <c r="L8" s="160">
        <f t="shared" si="0"/>
        <v>10.499639063324402</v>
      </c>
      <c r="M8" s="160">
        <f t="shared" si="1"/>
        <v>5.2498195316622009</v>
      </c>
      <c r="N8" s="159">
        <f t="shared" si="2"/>
        <v>8.1682391000000003E-3</v>
      </c>
      <c r="O8" s="159">
        <f t="shared" si="3"/>
        <v>4.0841195500000002E-3</v>
      </c>
      <c r="Q8" s="161">
        <f t="shared" si="4"/>
        <v>8.168239100000001</v>
      </c>
      <c r="R8" s="161">
        <f t="shared" si="5"/>
        <v>8.168239100000001</v>
      </c>
      <c r="S8" s="161">
        <f t="shared" si="6"/>
        <v>4.0841195500000005</v>
      </c>
    </row>
    <row r="9" spans="1:19" s="71" customFormat="1">
      <c r="A9" s="65" t="s">
        <v>439</v>
      </c>
      <c r="B9" s="66" t="s">
        <v>189</v>
      </c>
      <c r="C9" s="191" t="s">
        <v>199</v>
      </c>
      <c r="D9" s="112" t="s">
        <v>523</v>
      </c>
      <c r="E9" s="113" t="s">
        <v>480</v>
      </c>
      <c r="F9" s="69">
        <v>6.8896838E-3</v>
      </c>
      <c r="G9" s="119">
        <v>12.5922359177478</v>
      </c>
      <c r="H9" s="124">
        <v>4.8227786600000006E-3</v>
      </c>
      <c r="I9" s="125">
        <v>8.9565889399999994E-3</v>
      </c>
      <c r="J9" s="126">
        <v>8.8145651424234597</v>
      </c>
      <c r="K9" s="127">
        <v>16.369906693072139</v>
      </c>
      <c r="L9" s="160">
        <f t="shared" si="0"/>
        <v>3.7776707753243386</v>
      </c>
      <c r="M9" s="160">
        <f t="shared" si="1"/>
        <v>3.7776707753243404</v>
      </c>
      <c r="N9" s="159">
        <f t="shared" si="2"/>
        <v>2.0669051399999994E-3</v>
      </c>
      <c r="O9" s="159">
        <f t="shared" si="3"/>
        <v>2.0669051399999994E-3</v>
      </c>
      <c r="Q9" s="161">
        <f t="shared" si="4"/>
        <v>6.8896838000000002</v>
      </c>
      <c r="R9" s="161">
        <f t="shared" si="5"/>
        <v>2.0669051399999994</v>
      </c>
      <c r="S9" s="161">
        <f t="shared" si="6"/>
        <v>2.0669051399999994</v>
      </c>
    </row>
    <row r="10" spans="1:19" s="71" customFormat="1">
      <c r="A10" s="65" t="s">
        <v>437</v>
      </c>
      <c r="B10" s="66" t="s">
        <v>170</v>
      </c>
      <c r="C10" s="187" t="s">
        <v>200</v>
      </c>
      <c r="D10" s="112" t="s">
        <v>550</v>
      </c>
      <c r="E10" s="113" t="s">
        <v>507</v>
      </c>
      <c r="F10" s="69">
        <v>2.3422274999999999E-2</v>
      </c>
      <c r="G10" s="119">
        <v>23.447429895265422</v>
      </c>
      <c r="H10" s="124">
        <v>1.17111375E-2</v>
      </c>
      <c r="I10" s="125">
        <v>4.6844549999999999E-2</v>
      </c>
      <c r="J10" s="126">
        <v>11.723714947632711</v>
      </c>
      <c r="K10" s="127">
        <v>46.894859790530845</v>
      </c>
      <c r="L10" s="160">
        <f t="shared" si="0"/>
        <v>23.447429895265422</v>
      </c>
      <c r="M10" s="160">
        <f>G10-J10</f>
        <v>11.723714947632711</v>
      </c>
      <c r="N10" s="159">
        <f>I10-F10</f>
        <v>2.3422274999999999E-2</v>
      </c>
      <c r="O10" s="159">
        <f t="shared" si="3"/>
        <v>1.17111375E-2</v>
      </c>
      <c r="Q10" s="161">
        <f t="shared" si="4"/>
        <v>23.422274999999999</v>
      </c>
      <c r="R10" s="161">
        <f t="shared" si="5"/>
        <v>23.422274999999999</v>
      </c>
      <c r="S10" s="161">
        <f t="shared" si="6"/>
        <v>11.7111375</v>
      </c>
    </row>
    <row r="11" spans="1:19" s="71" customFormat="1">
      <c r="A11" s="65" t="s">
        <v>438</v>
      </c>
      <c r="B11" s="66" t="s">
        <v>138</v>
      </c>
      <c r="C11" s="190" t="s">
        <v>216</v>
      </c>
      <c r="D11" s="112" t="s">
        <v>542</v>
      </c>
      <c r="E11" s="113" t="s">
        <v>499</v>
      </c>
      <c r="F11" s="69">
        <v>2.2048029E-2</v>
      </c>
      <c r="G11" s="119">
        <v>24.68810649890937</v>
      </c>
      <c r="H11" s="124">
        <v>1.10240145E-2</v>
      </c>
      <c r="I11" s="125">
        <v>3.3072043500000002E-2</v>
      </c>
      <c r="J11" s="126">
        <v>12.344053249454685</v>
      </c>
      <c r="K11" s="127">
        <v>37.032159748364052</v>
      </c>
      <c r="L11" s="160">
        <f t="shared" si="0"/>
        <v>12.344053249454682</v>
      </c>
      <c r="M11" s="160">
        <f>G11-J11</f>
        <v>12.344053249454685</v>
      </c>
      <c r="N11" s="159">
        <f t="shared" si="2"/>
        <v>1.1024014500000002E-2</v>
      </c>
      <c r="O11" s="159">
        <f t="shared" si="3"/>
        <v>1.10240145E-2</v>
      </c>
      <c r="Q11" s="161">
        <f t="shared" si="4"/>
        <v>22.048029</v>
      </c>
      <c r="R11" s="161">
        <f t="shared" si="5"/>
        <v>11.024014500000002</v>
      </c>
      <c r="S11" s="161">
        <f t="shared" si="6"/>
        <v>11.0240145</v>
      </c>
    </row>
    <row r="12" spans="1:19" s="71" customFormat="1">
      <c r="A12" s="65" t="s">
        <v>439</v>
      </c>
      <c r="B12" s="66" t="s">
        <v>251</v>
      </c>
      <c r="C12" s="191" t="s">
        <v>199</v>
      </c>
      <c r="D12" s="112" t="s">
        <v>524</v>
      </c>
      <c r="E12" s="113" t="s">
        <v>475</v>
      </c>
      <c r="F12" s="69">
        <v>1.5912835E-2</v>
      </c>
      <c r="G12" s="119">
        <v>29.893633547256087</v>
      </c>
      <c r="H12" s="124">
        <v>1.1138984500000001E-2</v>
      </c>
      <c r="I12" s="125">
        <v>2.06866855E-2</v>
      </c>
      <c r="J12" s="126">
        <v>20.925543483079259</v>
      </c>
      <c r="K12" s="127">
        <v>38.861723611432915</v>
      </c>
      <c r="L12" s="160">
        <f t="shared" si="0"/>
        <v>8.9680900641768275</v>
      </c>
      <c r="M12" s="160">
        <f t="shared" si="1"/>
        <v>8.9680900641768275</v>
      </c>
      <c r="N12" s="159">
        <f t="shared" si="2"/>
        <v>4.7738504999999994E-3</v>
      </c>
      <c r="O12" s="159">
        <f t="shared" si="3"/>
        <v>4.7738504999999994E-3</v>
      </c>
      <c r="Q12" s="161">
        <f t="shared" si="4"/>
        <v>15.912834999999999</v>
      </c>
      <c r="R12" s="161">
        <f t="shared" si="5"/>
        <v>4.7738504999999991</v>
      </c>
      <c r="S12" s="161">
        <f t="shared" si="6"/>
        <v>4.7738504999999991</v>
      </c>
    </row>
    <row r="13" spans="1:19" s="71" customFormat="1">
      <c r="A13" s="65" t="s">
        <v>438</v>
      </c>
      <c r="B13" s="66" t="s">
        <v>336</v>
      </c>
      <c r="C13" s="187" t="s">
        <v>200</v>
      </c>
      <c r="D13" s="112" t="s">
        <v>559</v>
      </c>
      <c r="E13" s="113" t="s">
        <v>516</v>
      </c>
      <c r="F13" s="69">
        <v>3.0845792E-2</v>
      </c>
      <c r="G13" s="119">
        <v>33.512047632653974</v>
      </c>
      <c r="H13" s="124">
        <v>1.5422896E-2</v>
      </c>
      <c r="I13" s="125">
        <v>6.1691584000000001E-2</v>
      </c>
      <c r="J13" s="126">
        <v>16.756023816326987</v>
      </c>
      <c r="K13" s="127">
        <v>67.024095265307949</v>
      </c>
      <c r="L13" s="160">
        <f t="shared" si="0"/>
        <v>33.512047632653974</v>
      </c>
      <c r="M13" s="160">
        <f t="shared" si="1"/>
        <v>16.756023816326987</v>
      </c>
      <c r="N13" s="159">
        <f t="shared" si="2"/>
        <v>3.0845792E-2</v>
      </c>
      <c r="O13" s="159">
        <f t="shared" si="3"/>
        <v>1.5422896E-2</v>
      </c>
      <c r="Q13" s="161">
        <f t="shared" si="4"/>
        <v>30.845791999999999</v>
      </c>
      <c r="R13" s="161">
        <f t="shared" si="5"/>
        <v>30.845791999999999</v>
      </c>
      <c r="S13" s="161">
        <f t="shared" si="6"/>
        <v>15.422896</v>
      </c>
    </row>
    <row r="14" spans="1:19" s="71" customFormat="1">
      <c r="A14" s="65" t="s">
        <v>438</v>
      </c>
      <c r="B14" s="84" t="s">
        <v>50</v>
      </c>
      <c r="C14" s="193" t="s">
        <v>216</v>
      </c>
      <c r="D14" s="114" t="s">
        <v>540</v>
      </c>
      <c r="E14" s="115" t="s">
        <v>500</v>
      </c>
      <c r="F14" s="69">
        <v>3.1121656000000001E-2</v>
      </c>
      <c r="G14" s="119">
        <v>46.352653807595956</v>
      </c>
      <c r="H14" s="124">
        <v>1.5560828000000001E-2</v>
      </c>
      <c r="I14" s="125">
        <v>4.6682484000000003E-2</v>
      </c>
      <c r="J14" s="126">
        <v>23.176326903797978</v>
      </c>
      <c r="K14" s="127">
        <v>69.528980711393928</v>
      </c>
      <c r="L14" s="160">
        <f t="shared" si="0"/>
        <v>23.176326903797971</v>
      </c>
      <c r="M14" s="160">
        <f t="shared" si="1"/>
        <v>23.176326903797978</v>
      </c>
      <c r="N14" s="159">
        <f t="shared" si="2"/>
        <v>1.5560828000000002E-2</v>
      </c>
      <c r="O14" s="159">
        <f t="shared" si="3"/>
        <v>1.5560828000000001E-2</v>
      </c>
      <c r="Q14" s="161">
        <f t="shared" si="4"/>
        <v>31.121656000000002</v>
      </c>
      <c r="R14" s="161">
        <f t="shared" si="5"/>
        <v>15.560828000000003</v>
      </c>
      <c r="S14" s="161">
        <f t="shared" si="6"/>
        <v>15.560828000000001</v>
      </c>
    </row>
    <row r="15" spans="1:19" s="71" customFormat="1">
      <c r="A15" s="65" t="s">
        <v>38</v>
      </c>
      <c r="B15" s="66" t="s">
        <v>248</v>
      </c>
      <c r="C15" s="190" t="s">
        <v>232</v>
      </c>
      <c r="D15" s="112" t="s">
        <v>540</v>
      </c>
      <c r="E15" s="113" t="s">
        <v>497</v>
      </c>
      <c r="F15" s="69">
        <v>3.5199714999999999E-2</v>
      </c>
      <c r="G15" s="119">
        <v>50.763252037322673</v>
      </c>
      <c r="H15" s="124">
        <v>1.75998575E-2</v>
      </c>
      <c r="I15" s="125">
        <v>5.2799572500000003E-2</v>
      </c>
      <c r="J15" s="126">
        <v>25.381626018661336</v>
      </c>
      <c r="K15" s="127">
        <v>76.144878055984009</v>
      </c>
      <c r="L15" s="160">
        <f t="shared" si="0"/>
        <v>25.381626018661336</v>
      </c>
      <c r="M15" s="160">
        <f t="shared" si="1"/>
        <v>25.381626018661336</v>
      </c>
      <c r="N15" s="159">
        <f t="shared" si="2"/>
        <v>1.7599857500000003E-2</v>
      </c>
      <c r="O15" s="159">
        <f t="shared" si="3"/>
        <v>1.75998575E-2</v>
      </c>
      <c r="Q15" s="161">
        <f t="shared" si="4"/>
        <v>35.199714999999998</v>
      </c>
      <c r="R15" s="161">
        <f t="shared" si="5"/>
        <v>17.599857500000002</v>
      </c>
      <c r="S15" s="161">
        <f t="shared" si="6"/>
        <v>17.599857499999999</v>
      </c>
    </row>
    <row r="16" spans="1:19" s="71" customFormat="1">
      <c r="A16" s="65" t="s">
        <v>438</v>
      </c>
      <c r="B16" s="84" t="s">
        <v>52</v>
      </c>
      <c r="C16" s="190" t="s">
        <v>216</v>
      </c>
      <c r="D16" s="112" t="s">
        <v>537</v>
      </c>
      <c r="E16" s="113" t="s">
        <v>501</v>
      </c>
      <c r="F16" s="69">
        <v>3.9125422999999999E-2</v>
      </c>
      <c r="G16" s="119">
        <v>55.413236272241924</v>
      </c>
      <c r="H16" s="124">
        <v>1.95627115E-2</v>
      </c>
      <c r="I16" s="125">
        <v>5.8688134500000003E-2</v>
      </c>
      <c r="J16" s="126">
        <v>27.706618136120962</v>
      </c>
      <c r="K16" s="127">
        <v>83.119854408362883</v>
      </c>
      <c r="L16" s="160">
        <f t="shared" si="0"/>
        <v>27.706618136120959</v>
      </c>
      <c r="M16" s="160">
        <f t="shared" si="1"/>
        <v>27.706618136120962</v>
      </c>
      <c r="N16" s="159">
        <f t="shared" si="2"/>
        <v>1.9562711500000003E-2</v>
      </c>
      <c r="O16" s="159">
        <f t="shared" si="3"/>
        <v>1.95627115E-2</v>
      </c>
      <c r="Q16" s="161">
        <f t="shared" si="4"/>
        <v>39.125422999999998</v>
      </c>
      <c r="R16" s="161">
        <f t="shared" si="5"/>
        <v>19.562711500000002</v>
      </c>
      <c r="S16" s="161">
        <f t="shared" si="6"/>
        <v>19.562711499999999</v>
      </c>
    </row>
    <row r="17" spans="1:19" s="71" customFormat="1">
      <c r="A17" s="65" t="s">
        <v>439</v>
      </c>
      <c r="B17" s="66" t="s">
        <v>163</v>
      </c>
      <c r="C17" s="190" t="s">
        <v>260</v>
      </c>
      <c r="D17" s="112" t="s">
        <v>537</v>
      </c>
      <c r="E17" s="113" t="s">
        <v>493</v>
      </c>
      <c r="F17" s="69">
        <v>3.7867954000000002E-2</v>
      </c>
      <c r="G17" s="119">
        <v>58.936062782308689</v>
      </c>
      <c r="H17" s="124">
        <v>1.8933977000000001E-2</v>
      </c>
      <c r="I17" s="125">
        <v>5.6801931E-2</v>
      </c>
      <c r="J17" s="126">
        <v>29.468031391154344</v>
      </c>
      <c r="K17" s="127">
        <v>88.404094173463037</v>
      </c>
      <c r="L17" s="160">
        <f t="shared" si="0"/>
        <v>29.468031391154348</v>
      </c>
      <c r="M17" s="160">
        <f t="shared" si="1"/>
        <v>29.468031391154344</v>
      </c>
      <c r="N17" s="159">
        <f t="shared" si="2"/>
        <v>1.8933976999999998E-2</v>
      </c>
      <c r="O17" s="159">
        <f t="shared" si="3"/>
        <v>1.8933977000000001E-2</v>
      </c>
      <c r="Q17" s="161">
        <f t="shared" si="4"/>
        <v>37.867954000000005</v>
      </c>
      <c r="R17" s="161">
        <f t="shared" si="5"/>
        <v>18.933976999999999</v>
      </c>
      <c r="S17" s="161">
        <f t="shared" si="6"/>
        <v>18.933977000000002</v>
      </c>
    </row>
    <row r="18" spans="1:19" s="71" customFormat="1">
      <c r="A18" s="65" t="s">
        <v>438</v>
      </c>
      <c r="B18" s="66" t="s">
        <v>335</v>
      </c>
      <c r="C18" s="187" t="s">
        <v>312</v>
      </c>
      <c r="D18" s="112" t="s">
        <v>558</v>
      </c>
      <c r="E18" s="113" t="s">
        <v>515</v>
      </c>
      <c r="F18" s="69">
        <v>4.5695101000000002E-2</v>
      </c>
      <c r="G18" s="119">
        <v>63.045924441907516</v>
      </c>
      <c r="H18" s="124">
        <v>2.2847550500000001E-2</v>
      </c>
      <c r="I18" s="125">
        <v>9.1390202000000004E-2</v>
      </c>
      <c r="J18" s="126">
        <v>31.522962220953758</v>
      </c>
      <c r="K18" s="127">
        <v>126.09184888381503</v>
      </c>
      <c r="L18" s="160">
        <f t="shared" si="0"/>
        <v>63.045924441907516</v>
      </c>
      <c r="M18" s="160">
        <f t="shared" si="1"/>
        <v>31.522962220953758</v>
      </c>
      <c r="N18" s="159">
        <f t="shared" si="2"/>
        <v>4.5695101000000002E-2</v>
      </c>
      <c r="O18" s="159">
        <f t="shared" si="3"/>
        <v>2.2847550500000001E-2</v>
      </c>
      <c r="Q18" s="161">
        <f t="shared" si="4"/>
        <v>45.695101000000001</v>
      </c>
      <c r="R18" s="161">
        <f t="shared" si="5"/>
        <v>45.695101000000001</v>
      </c>
      <c r="S18" s="161">
        <f t="shared" si="6"/>
        <v>22.847550500000001</v>
      </c>
    </row>
    <row r="19" spans="1:19" s="71" customFormat="1">
      <c r="A19" s="65" t="s">
        <v>439</v>
      </c>
      <c r="B19" s="66" t="s">
        <v>344</v>
      </c>
      <c r="C19" s="190" t="s">
        <v>216</v>
      </c>
      <c r="D19" s="112" t="s">
        <v>536</v>
      </c>
      <c r="E19" s="113" t="s">
        <v>492</v>
      </c>
      <c r="F19" s="69">
        <v>4.7456012999999998E-2</v>
      </c>
      <c r="G19" s="119">
        <v>65.504203731589712</v>
      </c>
      <c r="H19" s="124">
        <v>2.3728006499999999E-2</v>
      </c>
      <c r="I19" s="125">
        <v>7.1184019500000001E-2</v>
      </c>
      <c r="J19" s="126">
        <v>32.752101865794856</v>
      </c>
      <c r="K19" s="127">
        <v>98.256305597384568</v>
      </c>
      <c r="L19" s="160">
        <f t="shared" si="0"/>
        <v>32.752101865794856</v>
      </c>
      <c r="M19" s="160">
        <f t="shared" si="1"/>
        <v>32.752101865794856</v>
      </c>
      <c r="N19" s="159">
        <f t="shared" si="2"/>
        <v>2.3728006500000003E-2</v>
      </c>
      <c r="O19" s="159">
        <f t="shared" si="3"/>
        <v>2.3728006499999999E-2</v>
      </c>
      <c r="Q19" s="161">
        <f t="shared" si="4"/>
        <v>47.456012999999999</v>
      </c>
      <c r="R19" s="161">
        <f t="shared" si="5"/>
        <v>23.728006500000003</v>
      </c>
      <c r="S19" s="161">
        <f t="shared" si="6"/>
        <v>23.728006499999999</v>
      </c>
    </row>
    <row r="20" spans="1:19" s="71" customFormat="1">
      <c r="A20" s="65" t="s">
        <v>1</v>
      </c>
      <c r="B20" s="66" t="s">
        <v>18</v>
      </c>
      <c r="C20" s="191" t="s">
        <v>201</v>
      </c>
      <c r="D20" s="112" t="s">
        <v>521</v>
      </c>
      <c r="E20" s="113" t="s">
        <v>486</v>
      </c>
      <c r="F20" s="69">
        <v>6.4807813000000006E-2</v>
      </c>
      <c r="G20" s="119">
        <v>67.467957083767303</v>
      </c>
      <c r="H20" s="124">
        <v>5.1846250400000002E-2</v>
      </c>
      <c r="I20" s="125">
        <v>7.776937560000001E-2</v>
      </c>
      <c r="J20" s="126">
        <v>53.974365667013842</v>
      </c>
      <c r="K20" s="127">
        <v>80.961548500520763</v>
      </c>
      <c r="L20" s="160">
        <f t="shared" si="0"/>
        <v>13.493591416753461</v>
      </c>
      <c r="M20" s="160">
        <f t="shared" si="1"/>
        <v>13.493591416753461</v>
      </c>
      <c r="N20" s="159">
        <f t="shared" si="2"/>
        <v>1.2961562600000004E-2</v>
      </c>
      <c r="O20" s="159">
        <f t="shared" si="3"/>
        <v>1.2961562600000004E-2</v>
      </c>
      <c r="Q20" s="161">
        <f t="shared" si="4"/>
        <v>64.80781300000001</v>
      </c>
      <c r="R20" s="161">
        <f t="shared" si="5"/>
        <v>12.961562600000004</v>
      </c>
      <c r="S20" s="161">
        <f t="shared" si="6"/>
        <v>12.961562600000004</v>
      </c>
    </row>
    <row r="21" spans="1:19" s="71" customFormat="1">
      <c r="A21" s="65" t="s">
        <v>438</v>
      </c>
      <c r="B21" s="66" t="s">
        <v>332</v>
      </c>
      <c r="C21" s="187" t="s">
        <v>200</v>
      </c>
      <c r="D21" s="112" t="s">
        <v>555</v>
      </c>
      <c r="E21" s="113" t="s">
        <v>512</v>
      </c>
      <c r="F21" s="69">
        <v>7.0093205000000006E-2</v>
      </c>
      <c r="G21" s="119">
        <v>72.124661835116797</v>
      </c>
      <c r="H21" s="124">
        <v>3.5046602500000003E-2</v>
      </c>
      <c r="I21" s="125">
        <v>0.14018641000000001</v>
      </c>
      <c r="J21" s="126">
        <v>36.062330917558398</v>
      </c>
      <c r="K21" s="127">
        <v>144.24932367023359</v>
      </c>
      <c r="L21" s="160">
        <f t="shared" si="0"/>
        <v>72.124661835116797</v>
      </c>
      <c r="M21" s="160">
        <f t="shared" si="1"/>
        <v>36.062330917558398</v>
      </c>
      <c r="N21" s="159">
        <f t="shared" si="2"/>
        <v>7.0093205000000006E-2</v>
      </c>
      <c r="O21" s="159">
        <f t="shared" si="3"/>
        <v>3.5046602500000003E-2</v>
      </c>
      <c r="Q21" s="161">
        <f t="shared" si="4"/>
        <v>70.093205000000012</v>
      </c>
      <c r="R21" s="161">
        <f t="shared" si="5"/>
        <v>70.093205000000012</v>
      </c>
      <c r="S21" s="161">
        <f t="shared" si="6"/>
        <v>35.046602500000006</v>
      </c>
    </row>
    <row r="22" spans="1:19" s="71" customFormat="1">
      <c r="A22" s="65" t="s">
        <v>38</v>
      </c>
      <c r="B22" s="66" t="s">
        <v>247</v>
      </c>
      <c r="C22" s="190" t="s">
        <v>217</v>
      </c>
      <c r="D22" s="112" t="s">
        <v>534</v>
      </c>
      <c r="E22" s="113" t="s">
        <v>476</v>
      </c>
      <c r="F22" s="69">
        <v>5.5192583000000003E-2</v>
      </c>
      <c r="G22" s="119">
        <v>74.138500861070739</v>
      </c>
      <c r="H22" s="124">
        <v>3.3115549800000005E-2</v>
      </c>
      <c r="I22" s="125">
        <v>7.7269616200000002E-2</v>
      </c>
      <c r="J22" s="126">
        <v>44.483100516642438</v>
      </c>
      <c r="K22" s="127">
        <v>103.79390120549904</v>
      </c>
      <c r="L22" s="160">
        <f t="shared" si="0"/>
        <v>29.655400344428301</v>
      </c>
      <c r="M22" s="160">
        <f t="shared" si="1"/>
        <v>29.655400344428301</v>
      </c>
      <c r="N22" s="159">
        <f t="shared" si="2"/>
        <v>2.2077033199999999E-2</v>
      </c>
      <c r="O22" s="159">
        <f t="shared" si="3"/>
        <v>2.2077033199999999E-2</v>
      </c>
      <c r="Q22" s="161">
        <f t="shared" si="4"/>
        <v>55.192583000000006</v>
      </c>
      <c r="R22" s="161">
        <f t="shared" si="5"/>
        <v>22.077033199999999</v>
      </c>
      <c r="S22" s="161">
        <f t="shared" si="6"/>
        <v>22.077033199999999</v>
      </c>
    </row>
    <row r="23" spans="1:19" s="71" customFormat="1">
      <c r="A23" s="65" t="s">
        <v>437</v>
      </c>
      <c r="B23" s="66" t="s">
        <v>192</v>
      </c>
      <c r="C23" s="187" t="s">
        <v>200</v>
      </c>
      <c r="D23" s="112" t="s">
        <v>549</v>
      </c>
      <c r="E23" s="113" t="s">
        <v>506</v>
      </c>
      <c r="F23" s="69">
        <v>8.7977629000000002E-2</v>
      </c>
      <c r="G23" s="119">
        <v>88.23941135717611</v>
      </c>
      <c r="H23" s="124">
        <v>4.3988814500000001E-2</v>
      </c>
      <c r="I23" s="125">
        <v>0.175955258</v>
      </c>
      <c r="J23" s="126">
        <v>44.119705678588055</v>
      </c>
      <c r="K23" s="127">
        <v>176.47882271435222</v>
      </c>
      <c r="L23" s="160">
        <f t="shared" si="0"/>
        <v>88.23941135717611</v>
      </c>
      <c r="M23" s="160">
        <f t="shared" si="1"/>
        <v>44.119705678588055</v>
      </c>
      <c r="N23" s="159">
        <f>I23-F23</f>
        <v>8.7977629000000002E-2</v>
      </c>
      <c r="O23" s="159">
        <f t="shared" si="3"/>
        <v>4.3988814500000001E-2</v>
      </c>
      <c r="Q23" s="161">
        <f t="shared" si="4"/>
        <v>87.977629000000007</v>
      </c>
      <c r="R23" s="161">
        <f t="shared" si="5"/>
        <v>87.977629000000007</v>
      </c>
      <c r="S23" s="161">
        <f t="shared" si="6"/>
        <v>43.988814500000004</v>
      </c>
    </row>
    <row r="24" spans="1:19" s="71" customFormat="1">
      <c r="A24" s="65" t="s">
        <v>437</v>
      </c>
      <c r="B24" s="66" t="s">
        <v>187</v>
      </c>
      <c r="C24" s="191" t="s">
        <v>199</v>
      </c>
      <c r="D24" s="112" t="s">
        <v>525</v>
      </c>
      <c r="E24" s="113" t="s">
        <v>487</v>
      </c>
      <c r="F24" s="69">
        <v>5.8967672999999998E-2</v>
      </c>
      <c r="G24" s="119">
        <v>88.318696496570112</v>
      </c>
      <c r="H24" s="124">
        <v>4.1277371100000002E-2</v>
      </c>
      <c r="I24" s="125">
        <v>7.6657974899999995E-2</v>
      </c>
      <c r="J24" s="126">
        <v>61.82308754759908</v>
      </c>
      <c r="K24" s="127">
        <v>114.81430544554115</v>
      </c>
      <c r="L24" s="160">
        <f t="shared" si="0"/>
        <v>26.495608948971039</v>
      </c>
      <c r="M24" s="160">
        <f t="shared" si="1"/>
        <v>26.495608948971032</v>
      </c>
      <c r="N24" s="159">
        <f t="shared" si="2"/>
        <v>1.7690301899999997E-2</v>
      </c>
      <c r="O24" s="159">
        <f t="shared" si="3"/>
        <v>1.7690301899999997E-2</v>
      </c>
      <c r="Q24" s="161">
        <f t="shared" si="4"/>
        <v>58.967672999999998</v>
      </c>
      <c r="R24" s="161">
        <f t="shared" si="5"/>
        <v>17.690301899999998</v>
      </c>
      <c r="S24" s="161">
        <f t="shared" si="6"/>
        <v>17.690301899999998</v>
      </c>
    </row>
    <row r="25" spans="1:19" s="71" customFormat="1">
      <c r="A25" s="65" t="s">
        <v>438</v>
      </c>
      <c r="B25" s="66" t="s">
        <v>304</v>
      </c>
      <c r="C25" s="187" t="s">
        <v>311</v>
      </c>
      <c r="D25" s="112" t="s">
        <v>557</v>
      </c>
      <c r="E25" s="113" t="s">
        <v>514</v>
      </c>
      <c r="F25" s="69">
        <v>7.4256890000000006E-2</v>
      </c>
      <c r="G25" s="119">
        <v>96.439776944594371</v>
      </c>
      <c r="H25" s="124">
        <v>3.7128445000000003E-2</v>
      </c>
      <c r="I25" s="125">
        <v>0.14851378000000001</v>
      </c>
      <c r="J25" s="126">
        <v>48.219888472297185</v>
      </c>
      <c r="K25" s="127">
        <v>192.87955388918874</v>
      </c>
      <c r="L25" s="160">
        <f t="shared" si="0"/>
        <v>96.439776944594371</v>
      </c>
      <c r="M25" s="160">
        <f t="shared" si="1"/>
        <v>48.219888472297185</v>
      </c>
      <c r="N25" s="159">
        <f t="shared" si="2"/>
        <v>7.4256890000000006E-2</v>
      </c>
      <c r="O25" s="159">
        <f t="shared" si="3"/>
        <v>3.7128445000000003E-2</v>
      </c>
      <c r="Q25" s="161">
        <f t="shared" si="4"/>
        <v>74.256890000000013</v>
      </c>
      <c r="R25" s="161">
        <f t="shared" si="5"/>
        <v>74.256890000000013</v>
      </c>
      <c r="S25" s="161">
        <f t="shared" si="6"/>
        <v>37.128445000000006</v>
      </c>
    </row>
    <row r="26" spans="1:19" s="71" customFormat="1">
      <c r="A26" s="65" t="s">
        <v>437</v>
      </c>
      <c r="B26" s="66" t="s">
        <v>252</v>
      </c>
      <c r="C26" s="187" t="s">
        <v>217</v>
      </c>
      <c r="D26" s="112" t="s">
        <v>533</v>
      </c>
      <c r="E26" s="113" t="s">
        <v>485</v>
      </c>
      <c r="F26" s="69">
        <v>8.2431844000000004E-2</v>
      </c>
      <c r="G26" s="119">
        <v>115.08819806215908</v>
      </c>
      <c r="H26" s="124">
        <v>4.9459106400000001E-2</v>
      </c>
      <c r="I26" s="125">
        <v>0.1154045816</v>
      </c>
      <c r="J26" s="126">
        <v>69.052918837295437</v>
      </c>
      <c r="K26" s="127">
        <v>161.12347728702272</v>
      </c>
      <c r="L26" s="160">
        <f t="shared" si="0"/>
        <v>46.035279224863643</v>
      </c>
      <c r="M26" s="160">
        <f t="shared" si="1"/>
        <v>46.035279224863643</v>
      </c>
      <c r="N26" s="159">
        <f t="shared" si="2"/>
        <v>3.2972737599999996E-2</v>
      </c>
      <c r="O26" s="159">
        <f t="shared" si="3"/>
        <v>3.2972737600000003E-2</v>
      </c>
      <c r="Q26" s="161">
        <f t="shared" si="4"/>
        <v>82.431843999999998</v>
      </c>
      <c r="R26" s="161">
        <f t="shared" si="5"/>
        <v>32.972737599999995</v>
      </c>
      <c r="S26" s="161">
        <f t="shared" si="6"/>
        <v>32.972737600000002</v>
      </c>
    </row>
    <row r="27" spans="1:19" s="86" customFormat="1">
      <c r="A27" s="65" t="s">
        <v>438</v>
      </c>
      <c r="B27" s="66" t="s">
        <v>306</v>
      </c>
      <c r="C27" s="190" t="s">
        <v>216</v>
      </c>
      <c r="D27" s="112" t="s">
        <v>546</v>
      </c>
      <c r="E27" s="113" t="s">
        <v>502</v>
      </c>
      <c r="F27" s="69">
        <v>0.11344694</v>
      </c>
      <c r="G27" s="119">
        <v>119.41271157440602</v>
      </c>
      <c r="H27" s="124">
        <v>5.6723469999999998E-2</v>
      </c>
      <c r="I27" s="125">
        <v>0.17017040999999999</v>
      </c>
      <c r="J27" s="126">
        <v>59.706355787203009</v>
      </c>
      <c r="K27" s="127">
        <v>179.11906736160904</v>
      </c>
      <c r="L27" s="160">
        <f t="shared" si="0"/>
        <v>59.706355787203023</v>
      </c>
      <c r="M27" s="160">
        <f t="shared" si="1"/>
        <v>59.706355787203009</v>
      </c>
      <c r="N27" s="159">
        <f t="shared" si="2"/>
        <v>5.6723469999999998E-2</v>
      </c>
      <c r="O27" s="159">
        <f t="shared" si="3"/>
        <v>5.6723469999999998E-2</v>
      </c>
      <c r="Q27" s="161">
        <f t="shared" si="4"/>
        <v>113.44694</v>
      </c>
      <c r="R27" s="161">
        <f t="shared" si="5"/>
        <v>56.723469999999999</v>
      </c>
      <c r="S27" s="161">
        <f t="shared" si="6"/>
        <v>56.723469999999999</v>
      </c>
    </row>
    <row r="28" spans="1:19" s="86" customFormat="1">
      <c r="A28" s="65" t="s">
        <v>438</v>
      </c>
      <c r="B28" s="66" t="s">
        <v>333</v>
      </c>
      <c r="C28" s="190" t="s">
        <v>216</v>
      </c>
      <c r="D28" s="112" t="s">
        <v>543</v>
      </c>
      <c r="E28" s="113" t="s">
        <v>502</v>
      </c>
      <c r="F28" s="69">
        <v>9.4660153999999996E-2</v>
      </c>
      <c r="G28" s="119">
        <v>120.90993868895241</v>
      </c>
      <c r="H28" s="124">
        <v>4.7330076999999998E-2</v>
      </c>
      <c r="I28" s="125">
        <v>0.14199023099999999</v>
      </c>
      <c r="J28" s="126">
        <v>60.454969344476204</v>
      </c>
      <c r="K28" s="127">
        <v>181.36490803342861</v>
      </c>
      <c r="L28" s="160">
        <f t="shared" ref="L28:L49" si="7">K28-G28</f>
        <v>60.454969344476197</v>
      </c>
      <c r="M28" s="160">
        <f t="shared" si="1"/>
        <v>60.454969344476204</v>
      </c>
      <c r="N28" s="159">
        <f t="shared" si="2"/>
        <v>4.7330076999999998E-2</v>
      </c>
      <c r="O28" s="159">
        <f t="shared" si="3"/>
        <v>4.7330076999999998E-2</v>
      </c>
      <c r="Q28" s="161">
        <f t="shared" si="4"/>
        <v>94.660153999999991</v>
      </c>
      <c r="R28" s="161">
        <f t="shared" si="5"/>
        <v>47.330076999999996</v>
      </c>
      <c r="S28" s="161">
        <f t="shared" si="6"/>
        <v>47.330076999999996</v>
      </c>
    </row>
    <row r="29" spans="1:19" s="86" customFormat="1">
      <c r="A29" s="65" t="s">
        <v>438</v>
      </c>
      <c r="B29" s="66" t="s">
        <v>334</v>
      </c>
      <c r="C29" s="190" t="s">
        <v>216</v>
      </c>
      <c r="D29" s="112" t="s">
        <v>544</v>
      </c>
      <c r="E29" s="113" t="s">
        <v>503</v>
      </c>
      <c r="F29" s="69">
        <v>0.10281868</v>
      </c>
      <c r="G29" s="119">
        <v>129.8336285903012</v>
      </c>
      <c r="H29" s="124">
        <v>5.1409339999999998E-2</v>
      </c>
      <c r="I29" s="125">
        <v>0.15422801999999999</v>
      </c>
      <c r="J29" s="126">
        <v>64.916814295150601</v>
      </c>
      <c r="K29" s="127">
        <v>194.7504428854518</v>
      </c>
      <c r="L29" s="160">
        <f t="shared" si="7"/>
        <v>64.916814295150601</v>
      </c>
      <c r="M29" s="160">
        <f t="shared" si="1"/>
        <v>64.916814295150601</v>
      </c>
      <c r="N29" s="159">
        <f t="shared" si="2"/>
        <v>5.1409339999999998E-2</v>
      </c>
      <c r="O29" s="159">
        <f t="shared" si="3"/>
        <v>5.1409339999999998E-2</v>
      </c>
      <c r="Q29" s="161">
        <f t="shared" si="4"/>
        <v>102.81868</v>
      </c>
      <c r="R29" s="161">
        <f t="shared" si="5"/>
        <v>51.40934</v>
      </c>
      <c r="S29" s="161">
        <f t="shared" si="6"/>
        <v>51.40934</v>
      </c>
    </row>
    <row r="30" spans="1:19" s="71" customFormat="1">
      <c r="A30" s="65" t="s">
        <v>38</v>
      </c>
      <c r="B30" s="66" t="s">
        <v>113</v>
      </c>
      <c r="C30" s="191" t="s">
        <v>222</v>
      </c>
      <c r="D30" s="112" t="s">
        <v>528</v>
      </c>
      <c r="E30" s="113" t="s">
        <v>489</v>
      </c>
      <c r="F30" s="69">
        <v>0.10280913999999999</v>
      </c>
      <c r="G30" s="119">
        <v>139.6695278322868</v>
      </c>
      <c r="H30" s="124">
        <v>7.1966398000000001E-2</v>
      </c>
      <c r="I30" s="125">
        <v>0.133651882</v>
      </c>
      <c r="J30" s="126">
        <v>97.768669482600757</v>
      </c>
      <c r="K30" s="127">
        <v>181.57038618197285</v>
      </c>
      <c r="L30" s="160">
        <f t="shared" si="7"/>
        <v>41.900858349686047</v>
      </c>
      <c r="M30" s="160">
        <f t="shared" si="1"/>
        <v>41.900858349686047</v>
      </c>
      <c r="N30" s="159">
        <f t="shared" si="2"/>
        <v>3.0842742000000006E-2</v>
      </c>
      <c r="O30" s="159">
        <f t="shared" si="3"/>
        <v>3.0842741999999992E-2</v>
      </c>
      <c r="Q30" s="161">
        <f t="shared" si="4"/>
        <v>102.80914</v>
      </c>
      <c r="R30" s="161">
        <f t="shared" si="5"/>
        <v>30.842742000000005</v>
      </c>
      <c r="S30" s="161">
        <f t="shared" si="6"/>
        <v>30.842741999999994</v>
      </c>
    </row>
    <row r="31" spans="1:19" s="71" customFormat="1">
      <c r="A31" s="65" t="s">
        <v>438</v>
      </c>
      <c r="B31" s="66" t="s">
        <v>303</v>
      </c>
      <c r="C31" s="187" t="s">
        <v>310</v>
      </c>
      <c r="D31" s="112" t="s">
        <v>556</v>
      </c>
      <c r="E31" s="113" t="s">
        <v>513</v>
      </c>
      <c r="F31" s="69">
        <v>0.20564112000000001</v>
      </c>
      <c r="G31" s="119">
        <v>250.05149659710594</v>
      </c>
      <c r="H31" s="124">
        <v>0.10282056000000001</v>
      </c>
      <c r="I31" s="125">
        <v>0.41128224000000002</v>
      </c>
      <c r="J31" s="126">
        <v>125.02574829855297</v>
      </c>
      <c r="K31" s="127">
        <v>500.10299319421188</v>
      </c>
      <c r="L31" s="160">
        <f t="shared" si="7"/>
        <v>250.05149659710594</v>
      </c>
      <c r="M31" s="160">
        <f t="shared" si="1"/>
        <v>125.02574829855297</v>
      </c>
      <c r="N31" s="159">
        <f t="shared" si="2"/>
        <v>0.20564112000000001</v>
      </c>
      <c r="O31" s="159">
        <f t="shared" si="3"/>
        <v>0.10282056000000001</v>
      </c>
      <c r="Q31" s="161">
        <f t="shared" si="4"/>
        <v>205.64112</v>
      </c>
      <c r="R31" s="161">
        <f t="shared" si="5"/>
        <v>205.64112</v>
      </c>
      <c r="S31" s="161">
        <f t="shared" si="6"/>
        <v>102.82056</v>
      </c>
    </row>
    <row r="32" spans="1:19" s="71" customFormat="1">
      <c r="A32" s="65" t="s">
        <v>438</v>
      </c>
      <c r="B32" s="66" t="s">
        <v>305</v>
      </c>
      <c r="C32" s="190" t="s">
        <v>216</v>
      </c>
      <c r="D32" s="112" t="s">
        <v>545</v>
      </c>
      <c r="E32" s="113" t="s">
        <v>504</v>
      </c>
      <c r="F32" s="69">
        <v>0.24483116999999999</v>
      </c>
      <c r="G32" s="119">
        <v>273.02443577691753</v>
      </c>
      <c r="H32" s="124">
        <v>0.12241558499999999</v>
      </c>
      <c r="I32" s="125">
        <v>0.36724675499999998</v>
      </c>
      <c r="J32" s="126">
        <v>136.51221788845876</v>
      </c>
      <c r="K32" s="127">
        <v>409.53665366537632</v>
      </c>
      <c r="L32" s="160">
        <f t="shared" si="7"/>
        <v>136.51221788845879</v>
      </c>
      <c r="M32" s="160">
        <f t="shared" si="1"/>
        <v>136.51221788845876</v>
      </c>
      <c r="N32" s="159">
        <f t="shared" si="2"/>
        <v>0.12241558499999999</v>
      </c>
      <c r="O32" s="159">
        <f t="shared" si="3"/>
        <v>0.12241558499999999</v>
      </c>
      <c r="Q32" s="161">
        <f t="shared" si="4"/>
        <v>244.83116999999999</v>
      </c>
      <c r="R32" s="161">
        <f t="shared" si="5"/>
        <v>122.41558499999999</v>
      </c>
      <c r="S32" s="161">
        <f t="shared" si="6"/>
        <v>122.41558499999999</v>
      </c>
    </row>
    <row r="33" spans="1:19" s="71" customFormat="1">
      <c r="A33" s="65" t="s">
        <v>38</v>
      </c>
      <c r="B33" s="66" t="s">
        <v>195</v>
      </c>
      <c r="C33" s="187" t="s">
        <v>307</v>
      </c>
      <c r="D33" s="112" t="s">
        <v>553</v>
      </c>
      <c r="E33" s="113" t="s">
        <v>510</v>
      </c>
      <c r="F33" s="69">
        <v>0.15890000000000001</v>
      </c>
      <c r="G33" s="119">
        <v>298.38669374595929</v>
      </c>
      <c r="H33" s="124">
        <v>7.9450000000000007E-2</v>
      </c>
      <c r="I33" s="125">
        <v>0.31780000000000003</v>
      </c>
      <c r="J33" s="126">
        <v>149.19334687297965</v>
      </c>
      <c r="K33" s="127">
        <v>596.77338749191858</v>
      </c>
      <c r="L33" s="160">
        <f t="shared" si="7"/>
        <v>298.38669374595929</v>
      </c>
      <c r="M33" s="160">
        <f t="shared" si="1"/>
        <v>149.19334687297965</v>
      </c>
      <c r="N33" s="159">
        <f t="shared" si="2"/>
        <v>0.15890000000000001</v>
      </c>
      <c r="O33" s="159">
        <f t="shared" si="3"/>
        <v>7.9450000000000007E-2</v>
      </c>
      <c r="Q33" s="161">
        <f t="shared" si="4"/>
        <v>158.9</v>
      </c>
      <c r="R33" s="161">
        <f t="shared" si="5"/>
        <v>158.9</v>
      </c>
      <c r="S33" s="161">
        <f t="shared" si="6"/>
        <v>79.45</v>
      </c>
    </row>
    <row r="34" spans="1:19" s="71" customFormat="1">
      <c r="A34" s="89" t="s">
        <v>456</v>
      </c>
      <c r="B34" s="84" t="s">
        <v>44</v>
      </c>
      <c r="C34" s="191" t="s">
        <v>199</v>
      </c>
      <c r="D34" s="112" t="s">
        <v>532</v>
      </c>
      <c r="E34" s="113" t="s">
        <v>490</v>
      </c>
      <c r="F34" s="69">
        <v>0.32056327000000001</v>
      </c>
      <c r="G34" s="119">
        <v>377.3963270941411</v>
      </c>
      <c r="H34" s="124">
        <v>0.22439428900000002</v>
      </c>
      <c r="I34" s="125">
        <v>0.416732251</v>
      </c>
      <c r="J34" s="126">
        <v>264.1774289658988</v>
      </c>
      <c r="K34" s="127">
        <v>490.6152252223834</v>
      </c>
      <c r="L34" s="160">
        <f t="shared" si="7"/>
        <v>113.2188981282423</v>
      </c>
      <c r="M34" s="160">
        <f t="shared" si="1"/>
        <v>113.2188981282423</v>
      </c>
      <c r="N34" s="159">
        <f t="shared" si="2"/>
        <v>9.6168980999999987E-2</v>
      </c>
      <c r="O34" s="159">
        <f t="shared" si="3"/>
        <v>9.6168980999999987E-2</v>
      </c>
      <c r="Q34" s="161">
        <f t="shared" si="4"/>
        <v>320.56326999999999</v>
      </c>
      <c r="R34" s="161">
        <f t="shared" si="5"/>
        <v>96.168980999999988</v>
      </c>
      <c r="S34" s="161">
        <f t="shared" si="6"/>
        <v>96.168980999999988</v>
      </c>
    </row>
    <row r="35" spans="1:19" s="71" customFormat="1">
      <c r="A35" s="65" t="s">
        <v>1</v>
      </c>
      <c r="B35" s="66" t="s">
        <v>3</v>
      </c>
      <c r="C35" s="191" t="s">
        <v>199</v>
      </c>
      <c r="D35" s="112" t="s">
        <v>527</v>
      </c>
      <c r="E35" s="113" t="s">
        <v>488</v>
      </c>
      <c r="F35" s="69">
        <v>0.12650078000000001</v>
      </c>
      <c r="G35" s="119">
        <v>395.68398394124301</v>
      </c>
      <c r="H35" s="124">
        <v>8.8550546000000008E-2</v>
      </c>
      <c r="I35" s="125">
        <v>0.16445101400000001</v>
      </c>
      <c r="J35" s="126">
        <v>276.97878875887011</v>
      </c>
      <c r="K35" s="127">
        <v>514.38917912361592</v>
      </c>
      <c r="L35" s="160">
        <f t="shared" si="7"/>
        <v>118.7051951823729</v>
      </c>
      <c r="M35" s="160">
        <f t="shared" si="1"/>
        <v>118.7051951823729</v>
      </c>
      <c r="N35" s="159">
        <f t="shared" si="2"/>
        <v>3.7950233999999999E-2</v>
      </c>
      <c r="O35" s="159">
        <f t="shared" si="3"/>
        <v>3.7950233999999999E-2</v>
      </c>
      <c r="Q35" s="161">
        <f t="shared" si="4"/>
        <v>126.50078000000001</v>
      </c>
      <c r="R35" s="161">
        <f t="shared" si="5"/>
        <v>37.950234000000002</v>
      </c>
      <c r="S35" s="161">
        <f t="shared" si="6"/>
        <v>37.950234000000002</v>
      </c>
    </row>
    <row r="36" spans="1:19" s="71" customFormat="1">
      <c r="A36" s="65" t="s">
        <v>38</v>
      </c>
      <c r="B36" s="66" t="s">
        <v>19</v>
      </c>
      <c r="C36" s="191" t="s">
        <v>236</v>
      </c>
      <c r="D36" s="112" t="s">
        <v>529</v>
      </c>
      <c r="E36" s="113" t="s">
        <v>482</v>
      </c>
      <c r="F36" s="69">
        <v>0.51648035999999997</v>
      </c>
      <c r="G36" s="119">
        <v>862.12903767869295</v>
      </c>
      <c r="H36" s="124">
        <v>0.36153625199999995</v>
      </c>
      <c r="I36" s="125">
        <v>0.671424468</v>
      </c>
      <c r="J36" s="126">
        <v>603.49032637508503</v>
      </c>
      <c r="K36" s="127">
        <v>1120.7677489823009</v>
      </c>
      <c r="L36" s="160">
        <f t="shared" si="7"/>
        <v>258.63871130360792</v>
      </c>
      <c r="M36" s="160">
        <f t="shared" si="1"/>
        <v>258.63871130360792</v>
      </c>
      <c r="N36" s="159">
        <f t="shared" si="2"/>
        <v>0.15494410800000002</v>
      </c>
      <c r="O36" s="159">
        <f t="shared" si="3"/>
        <v>0.15494410800000002</v>
      </c>
      <c r="Q36" s="161">
        <f t="shared" si="4"/>
        <v>516.48036000000002</v>
      </c>
      <c r="R36" s="161">
        <f t="shared" si="5"/>
        <v>154.94410800000003</v>
      </c>
      <c r="S36" s="161">
        <f t="shared" si="6"/>
        <v>154.94410800000003</v>
      </c>
    </row>
    <row r="37" spans="1:19" s="71" customFormat="1">
      <c r="A37" s="65" t="s">
        <v>1</v>
      </c>
      <c r="B37" s="66" t="s">
        <v>59</v>
      </c>
      <c r="C37" s="187" t="s">
        <v>200</v>
      </c>
      <c r="D37" s="112" t="s">
        <v>551</v>
      </c>
      <c r="E37" s="113" t="s">
        <v>508</v>
      </c>
      <c r="F37" s="69">
        <v>0.25401742999999999</v>
      </c>
      <c r="G37" s="119">
        <v>980.50611467598947</v>
      </c>
      <c r="H37" s="124">
        <v>0.12700871499999999</v>
      </c>
      <c r="I37" s="125">
        <v>0.50803485999999998</v>
      </c>
      <c r="J37" s="126">
        <v>490.25305733799473</v>
      </c>
      <c r="K37" s="127">
        <v>1961.0122293519789</v>
      </c>
      <c r="L37" s="160">
        <f t="shared" si="7"/>
        <v>980.50611467598947</v>
      </c>
      <c r="M37" s="160">
        <f t="shared" si="1"/>
        <v>490.25305733799473</v>
      </c>
      <c r="N37" s="159">
        <f t="shared" si="2"/>
        <v>0.25401742999999999</v>
      </c>
      <c r="O37" s="159">
        <f t="shared" si="3"/>
        <v>0.12700871499999999</v>
      </c>
      <c r="Q37" s="161">
        <f t="shared" si="4"/>
        <v>254.01742999999999</v>
      </c>
      <c r="R37" s="161">
        <f t="shared" si="5"/>
        <v>254.01742999999999</v>
      </c>
      <c r="S37" s="161">
        <f t="shared" si="6"/>
        <v>127.008715</v>
      </c>
    </row>
    <row r="38" spans="1:19" s="71" customFormat="1">
      <c r="A38" s="65" t="s">
        <v>38</v>
      </c>
      <c r="B38" s="66" t="s">
        <v>253</v>
      </c>
      <c r="C38" s="187" t="s">
        <v>308</v>
      </c>
      <c r="D38" s="112" t="s">
        <v>560</v>
      </c>
      <c r="E38" s="113" t="s">
        <v>519</v>
      </c>
      <c r="F38" s="69">
        <v>2.8064467</v>
      </c>
      <c r="G38" s="119">
        <v>2254.4955109512716</v>
      </c>
      <c r="H38" s="124">
        <v>0.56128933999999997</v>
      </c>
      <c r="I38" s="125">
        <v>14.0322335</v>
      </c>
      <c r="J38" s="126">
        <v>450.89910219025433</v>
      </c>
      <c r="K38" s="127">
        <v>11272.477554756359</v>
      </c>
      <c r="L38" s="160">
        <f t="shared" si="7"/>
        <v>9017.9820438050865</v>
      </c>
      <c r="M38" s="160">
        <f t="shared" si="1"/>
        <v>1803.5964087610173</v>
      </c>
      <c r="N38" s="159">
        <f t="shared" si="2"/>
        <v>11.2257868</v>
      </c>
      <c r="O38" s="159">
        <f t="shared" si="3"/>
        <v>2.2451573599999999</v>
      </c>
      <c r="Q38" s="161">
        <f t="shared" si="4"/>
        <v>2806.4467</v>
      </c>
      <c r="R38" s="161">
        <f t="shared" si="5"/>
        <v>11225.7868</v>
      </c>
      <c r="S38" s="161">
        <f t="shared" si="6"/>
        <v>2245.1573599999997</v>
      </c>
    </row>
    <row r="39" spans="1:19" s="71" customFormat="1">
      <c r="A39" s="65" t="s">
        <v>439</v>
      </c>
      <c r="B39" s="66" t="s">
        <v>162</v>
      </c>
      <c r="C39" s="187" t="s">
        <v>309</v>
      </c>
      <c r="D39" s="112" t="s">
        <v>561</v>
      </c>
      <c r="E39" s="113" t="s">
        <v>518</v>
      </c>
      <c r="F39" s="69">
        <v>2.109</v>
      </c>
      <c r="G39" s="119">
        <v>2385.129922564201</v>
      </c>
      <c r="H39" s="124">
        <v>0.52725</v>
      </c>
      <c r="I39" s="125">
        <v>8.4359999999999999</v>
      </c>
      <c r="J39" s="126">
        <v>596.28248064105026</v>
      </c>
      <c r="K39" s="127">
        <v>9540.5196902568041</v>
      </c>
      <c r="L39" s="160">
        <f t="shared" si="7"/>
        <v>7155.3897676926026</v>
      </c>
      <c r="M39" s="160">
        <f t="shared" si="1"/>
        <v>1788.8474419231507</v>
      </c>
      <c r="N39" s="159">
        <f t="shared" si="2"/>
        <v>6.327</v>
      </c>
      <c r="O39" s="159">
        <f t="shared" si="3"/>
        <v>1.58175</v>
      </c>
      <c r="Q39" s="161">
        <f t="shared" si="4"/>
        <v>2109</v>
      </c>
      <c r="R39" s="161">
        <f t="shared" si="5"/>
        <v>6327</v>
      </c>
      <c r="S39" s="161">
        <f t="shared" si="6"/>
        <v>1581.75</v>
      </c>
    </row>
    <row r="40" spans="1:19" s="71" customFormat="1">
      <c r="A40" s="65" t="s">
        <v>439</v>
      </c>
      <c r="B40" s="66" t="s">
        <v>161</v>
      </c>
      <c r="C40" s="187" t="s">
        <v>309</v>
      </c>
      <c r="D40" s="112" t="s">
        <v>562</v>
      </c>
      <c r="E40" s="113" t="s">
        <v>517</v>
      </c>
      <c r="F40" s="69">
        <v>2.75</v>
      </c>
      <c r="G40" s="119">
        <v>3101.5891657669667</v>
      </c>
      <c r="H40" s="124">
        <v>0.6875</v>
      </c>
      <c r="I40" s="125">
        <v>11</v>
      </c>
      <c r="J40" s="126">
        <v>775.39729144174169</v>
      </c>
      <c r="K40" s="127">
        <v>12406.356663067867</v>
      </c>
      <c r="L40" s="160">
        <f t="shared" si="7"/>
        <v>9304.7674973008998</v>
      </c>
      <c r="M40" s="160">
        <f t="shared" si="1"/>
        <v>2326.1918743252249</v>
      </c>
      <c r="N40" s="159">
        <f t="shared" si="2"/>
        <v>8.25</v>
      </c>
      <c r="O40" s="159">
        <f t="shared" si="3"/>
        <v>2.0625</v>
      </c>
      <c r="Q40" s="161">
        <f t="shared" si="4"/>
        <v>2750</v>
      </c>
      <c r="R40" s="161">
        <f t="shared" si="5"/>
        <v>8250</v>
      </c>
      <c r="S40" s="161">
        <f t="shared" si="6"/>
        <v>2062.5</v>
      </c>
    </row>
    <row r="41" spans="1:19" s="71" customFormat="1">
      <c r="A41" s="65" t="s">
        <v>439</v>
      </c>
      <c r="B41" s="66" t="s">
        <v>46</v>
      </c>
      <c r="C41" s="187" t="s">
        <v>200</v>
      </c>
      <c r="D41" s="112" t="s">
        <v>548</v>
      </c>
      <c r="E41" s="113" t="s">
        <v>505</v>
      </c>
      <c r="F41" s="69">
        <v>5.6204077000000003</v>
      </c>
      <c r="G41" s="119">
        <v>7626.3133806981032</v>
      </c>
      <c r="H41" s="124">
        <v>2.8102038500000002</v>
      </c>
      <c r="I41" s="125">
        <v>11.240815400000001</v>
      </c>
      <c r="J41" s="126">
        <v>3813.1566903490516</v>
      </c>
      <c r="K41" s="127">
        <v>15252.626761396206</v>
      </c>
      <c r="L41" s="160">
        <f t="shared" si="7"/>
        <v>7626.3133806981032</v>
      </c>
      <c r="M41" s="160">
        <f t="shared" si="1"/>
        <v>3813.1566903490516</v>
      </c>
      <c r="N41" s="159">
        <f t="shared" si="2"/>
        <v>5.6204077000000003</v>
      </c>
      <c r="O41" s="159">
        <f t="shared" si="3"/>
        <v>2.8102038500000002</v>
      </c>
      <c r="Q41" s="161">
        <f t="shared" si="4"/>
        <v>5620.4077000000007</v>
      </c>
      <c r="R41" s="161">
        <f t="shared" si="5"/>
        <v>5620.4077000000007</v>
      </c>
      <c r="S41" s="161">
        <f t="shared" si="6"/>
        <v>2810.2038500000003</v>
      </c>
    </row>
    <row r="42" spans="1:19" s="71" customFormat="1">
      <c r="A42" s="65" t="s">
        <v>439</v>
      </c>
      <c r="B42" s="66" t="s">
        <v>54</v>
      </c>
      <c r="C42" s="187" t="s">
        <v>200</v>
      </c>
      <c r="D42" s="112" t="s">
        <v>548</v>
      </c>
      <c r="E42" s="113" t="s">
        <v>505</v>
      </c>
      <c r="F42" s="69">
        <v>5.6809501999999998</v>
      </c>
      <c r="G42" s="119">
        <v>7694.5904610586485</v>
      </c>
      <c r="H42" s="124">
        <v>2.8404750999999999</v>
      </c>
      <c r="I42" s="125">
        <v>11.3619004</v>
      </c>
      <c r="J42" s="126">
        <v>3847.2952305293243</v>
      </c>
      <c r="K42" s="127">
        <v>15389.180922117297</v>
      </c>
      <c r="L42" s="160">
        <f t="shared" si="7"/>
        <v>7694.5904610586485</v>
      </c>
      <c r="M42" s="160">
        <f t="shared" si="1"/>
        <v>3847.2952305293243</v>
      </c>
      <c r="N42" s="159">
        <f t="shared" si="2"/>
        <v>5.6809501999999998</v>
      </c>
      <c r="O42" s="159">
        <f t="shared" si="3"/>
        <v>2.8404750999999999</v>
      </c>
      <c r="Q42" s="161">
        <f t="shared" si="4"/>
        <v>5680.9502000000002</v>
      </c>
      <c r="R42" s="161">
        <f t="shared" si="5"/>
        <v>5680.9502000000002</v>
      </c>
      <c r="S42" s="161">
        <f t="shared" si="6"/>
        <v>2840.4751000000001</v>
      </c>
    </row>
    <row r="43" spans="1:19" s="71" customFormat="1">
      <c r="A43" s="65" t="s">
        <v>1</v>
      </c>
      <c r="B43" s="66" t="s">
        <v>23</v>
      </c>
      <c r="C43" s="190" t="s">
        <v>371</v>
      </c>
      <c r="D43" s="112" t="s">
        <v>477</v>
      </c>
      <c r="E43" s="113" t="s">
        <v>496</v>
      </c>
      <c r="F43" s="69">
        <v>10.735939</v>
      </c>
      <c r="G43" s="119">
        <v>21772.270294396087</v>
      </c>
      <c r="H43" s="124">
        <v>5.3679695000000001</v>
      </c>
      <c r="I43" s="125">
        <v>16.103908499999999</v>
      </c>
      <c r="J43" s="126">
        <v>10886.135147198043</v>
      </c>
      <c r="K43" s="127">
        <v>32658.405441594128</v>
      </c>
      <c r="L43" s="160">
        <f t="shared" si="7"/>
        <v>10886.135147198042</v>
      </c>
      <c r="M43" s="160">
        <f t="shared" si="1"/>
        <v>10886.135147198043</v>
      </c>
      <c r="N43" s="159">
        <f t="shared" si="2"/>
        <v>5.3679694999999992</v>
      </c>
      <c r="O43" s="159">
        <f t="shared" si="3"/>
        <v>5.3679695000000001</v>
      </c>
      <c r="Q43" s="161">
        <f t="shared" si="4"/>
        <v>10735.939</v>
      </c>
      <c r="R43" s="161">
        <f t="shared" si="5"/>
        <v>5367.9694999999992</v>
      </c>
      <c r="S43" s="161">
        <f t="shared" si="6"/>
        <v>5367.9695000000002</v>
      </c>
    </row>
    <row r="44" spans="1:19" s="71" customFormat="1">
      <c r="A44" s="65" t="s">
        <v>1</v>
      </c>
      <c r="B44" s="66" t="s">
        <v>25</v>
      </c>
      <c r="C44" s="190" t="s">
        <v>216</v>
      </c>
      <c r="D44" s="112" t="s">
        <v>538</v>
      </c>
      <c r="E44" s="113" t="s">
        <v>494</v>
      </c>
      <c r="F44" s="69">
        <v>11.481553</v>
      </c>
      <c r="G44" s="119">
        <v>22788.237501757012</v>
      </c>
      <c r="H44" s="124">
        <v>5.7407764999999999</v>
      </c>
      <c r="I44" s="125">
        <v>17.222329500000001</v>
      </c>
      <c r="J44" s="126">
        <v>11394.118750878506</v>
      </c>
      <c r="K44" s="127">
        <v>34182.356252635516</v>
      </c>
      <c r="L44" s="160">
        <f t="shared" si="7"/>
        <v>11394.118750878504</v>
      </c>
      <c r="M44" s="160">
        <f t="shared" si="1"/>
        <v>11394.118750878506</v>
      </c>
      <c r="N44" s="159">
        <f t="shared" si="2"/>
        <v>5.7407765000000008</v>
      </c>
      <c r="O44" s="159">
        <f t="shared" si="3"/>
        <v>5.7407764999999999</v>
      </c>
      <c r="Q44" s="161">
        <f t="shared" si="4"/>
        <v>11481.553</v>
      </c>
      <c r="R44" s="161">
        <f t="shared" si="5"/>
        <v>5740.7765000000009</v>
      </c>
      <c r="S44" s="161">
        <f t="shared" si="6"/>
        <v>5740.7764999999999</v>
      </c>
    </row>
    <row r="45" spans="1:19" s="71" customFormat="1">
      <c r="A45" s="65" t="s">
        <v>1</v>
      </c>
      <c r="B45" s="66" t="s">
        <v>85</v>
      </c>
      <c r="C45" s="187" t="s">
        <v>200</v>
      </c>
      <c r="D45" s="112" t="s">
        <v>552</v>
      </c>
      <c r="E45" s="113" t="s">
        <v>509</v>
      </c>
      <c r="F45" s="69">
        <v>14.265369</v>
      </c>
      <c r="G45" s="119">
        <v>27193.917519690509</v>
      </c>
      <c r="H45" s="124">
        <v>7.1326844999999999</v>
      </c>
      <c r="I45" s="125">
        <v>28.530737999999999</v>
      </c>
      <c r="J45" s="126">
        <v>13596.958759845254</v>
      </c>
      <c r="K45" s="127">
        <v>54387.835039381018</v>
      </c>
      <c r="L45" s="160">
        <f t="shared" si="7"/>
        <v>27193.917519690509</v>
      </c>
      <c r="M45" s="160">
        <f t="shared" si="1"/>
        <v>13596.958759845254</v>
      </c>
      <c r="N45" s="159">
        <f t="shared" si="2"/>
        <v>14.265369</v>
      </c>
      <c r="O45" s="159">
        <f t="shared" si="3"/>
        <v>7.1326844999999999</v>
      </c>
      <c r="Q45" s="161">
        <f t="shared" si="4"/>
        <v>14265.369000000001</v>
      </c>
      <c r="R45" s="161">
        <f t="shared" si="5"/>
        <v>14265.369000000001</v>
      </c>
      <c r="S45" s="161">
        <f t="shared" si="6"/>
        <v>7132.6845000000003</v>
      </c>
    </row>
    <row r="46" spans="1:19" s="71" customFormat="1">
      <c r="A46" s="65" t="s">
        <v>1</v>
      </c>
      <c r="B46" s="66" t="s">
        <v>24</v>
      </c>
      <c r="C46" s="190" t="s">
        <v>371</v>
      </c>
      <c r="D46" s="112" t="s">
        <v>539</v>
      </c>
      <c r="E46" s="113" t="s">
        <v>495</v>
      </c>
      <c r="F46" s="69">
        <v>32.207816999999999</v>
      </c>
      <c r="G46" s="119">
        <v>65316.81096258825</v>
      </c>
      <c r="H46" s="124">
        <v>16.103908499999999</v>
      </c>
      <c r="I46" s="125">
        <v>48.311725499999994</v>
      </c>
      <c r="J46" s="126">
        <v>32658.405481294125</v>
      </c>
      <c r="K46" s="127">
        <v>97975.216443882382</v>
      </c>
      <c r="L46" s="160">
        <f t="shared" si="7"/>
        <v>32658.405481294132</v>
      </c>
      <c r="M46" s="160">
        <f t="shared" si="1"/>
        <v>32658.405481294125</v>
      </c>
      <c r="N46" s="159">
        <f t="shared" si="2"/>
        <v>16.103908499999996</v>
      </c>
      <c r="O46" s="159">
        <f t="shared" si="3"/>
        <v>16.103908499999999</v>
      </c>
      <c r="Q46" s="161">
        <f t="shared" si="4"/>
        <v>32207.816999999999</v>
      </c>
      <c r="R46" s="161">
        <f t="shared" si="5"/>
        <v>16103.908499999996</v>
      </c>
      <c r="S46" s="161">
        <f t="shared" si="6"/>
        <v>16103.9085</v>
      </c>
    </row>
    <row r="47" spans="1:19" s="71" customFormat="1">
      <c r="A47" s="65" t="s">
        <v>456</v>
      </c>
      <c r="B47" s="66" t="s">
        <v>31</v>
      </c>
      <c r="C47" s="191" t="s">
        <v>199</v>
      </c>
      <c r="D47" s="112" t="s">
        <v>531</v>
      </c>
      <c r="E47" s="113" t="s">
        <v>484</v>
      </c>
      <c r="F47" s="69">
        <v>775.54660000000001</v>
      </c>
      <c r="G47" s="119">
        <v>507526.39109325997</v>
      </c>
      <c r="H47" s="124">
        <v>542.88262000000009</v>
      </c>
      <c r="I47" s="125">
        <v>1008.2105799999999</v>
      </c>
      <c r="J47" s="126">
        <v>355268.47376528196</v>
      </c>
      <c r="K47" s="127">
        <v>659784.30842123798</v>
      </c>
      <c r="L47" s="160">
        <f t="shared" si="7"/>
        <v>152257.91732797801</v>
      </c>
      <c r="M47" s="160">
        <f t="shared" si="1"/>
        <v>152257.91732797801</v>
      </c>
      <c r="N47" s="159">
        <f t="shared" si="2"/>
        <v>232.66397999999992</v>
      </c>
      <c r="O47" s="159">
        <f t="shared" si="3"/>
        <v>232.66397999999992</v>
      </c>
      <c r="Q47" s="161">
        <f t="shared" si="4"/>
        <v>775546.6</v>
      </c>
      <c r="R47" s="161">
        <f t="shared" si="5"/>
        <v>232663.97999999992</v>
      </c>
      <c r="S47" s="161">
        <f t="shared" si="6"/>
        <v>232663.97999999992</v>
      </c>
    </row>
    <row r="48" spans="1:19" s="71" customFormat="1">
      <c r="A48" s="65" t="s">
        <v>456</v>
      </c>
      <c r="B48" s="66" t="s">
        <v>2</v>
      </c>
      <c r="C48" s="191" t="s">
        <v>201</v>
      </c>
      <c r="D48" s="112" t="s">
        <v>522</v>
      </c>
      <c r="E48" s="113" t="s">
        <v>479</v>
      </c>
      <c r="F48" s="69">
        <v>679.59412999999995</v>
      </c>
      <c r="G48" s="119">
        <v>800080.21498625923</v>
      </c>
      <c r="H48" s="124">
        <v>543.67530399999998</v>
      </c>
      <c r="I48" s="125">
        <v>815.51295599999992</v>
      </c>
      <c r="J48" s="126">
        <v>640064.17198900739</v>
      </c>
      <c r="K48" s="127">
        <v>960096.25798351108</v>
      </c>
      <c r="L48" s="160">
        <f t="shared" si="7"/>
        <v>160016.04299725185</v>
      </c>
      <c r="M48" s="160">
        <f t="shared" si="1"/>
        <v>160016.04299725185</v>
      </c>
      <c r="N48" s="159">
        <f t="shared" si="2"/>
        <v>135.91882599999997</v>
      </c>
      <c r="O48" s="159">
        <f t="shared" si="3"/>
        <v>135.91882599999997</v>
      </c>
      <c r="Q48" s="161">
        <f t="shared" si="4"/>
        <v>679594.13</v>
      </c>
      <c r="R48" s="161">
        <f t="shared" si="5"/>
        <v>135918.82599999997</v>
      </c>
      <c r="S48" s="161">
        <f t="shared" si="6"/>
        <v>135918.82599999997</v>
      </c>
    </row>
    <row r="49" spans="1:19" s="71" customFormat="1" ht="15" thickBot="1">
      <c r="A49" s="73" t="s">
        <v>456</v>
      </c>
      <c r="B49" s="74" t="s">
        <v>34</v>
      </c>
      <c r="C49" s="192" t="s">
        <v>199</v>
      </c>
      <c r="D49" s="116" t="s">
        <v>530</v>
      </c>
      <c r="E49" s="117" t="s">
        <v>483</v>
      </c>
      <c r="F49" s="77">
        <v>4285.6630999999998</v>
      </c>
      <c r="G49" s="120">
        <v>2506405.3195711151</v>
      </c>
      <c r="H49" s="130">
        <v>2999.9641700000002</v>
      </c>
      <c r="I49" s="131">
        <v>5571.3620299999993</v>
      </c>
      <c r="J49" s="132">
        <v>1754483.7236997806</v>
      </c>
      <c r="K49" s="133">
        <v>3258326.9154424495</v>
      </c>
      <c r="L49" s="160">
        <f t="shared" si="7"/>
        <v>751921.59587133443</v>
      </c>
      <c r="M49" s="160">
        <f t="shared" si="1"/>
        <v>751921.59587133443</v>
      </c>
      <c r="N49" s="159">
        <f t="shared" si="2"/>
        <v>1285.6989299999996</v>
      </c>
      <c r="O49" s="159">
        <f t="shared" si="3"/>
        <v>1285.6989299999996</v>
      </c>
      <c r="Q49" s="161">
        <f t="shared" si="4"/>
        <v>4285663.0999999996</v>
      </c>
      <c r="R49" s="161">
        <f t="shared" si="5"/>
        <v>1285698.9299999995</v>
      </c>
      <c r="S49" s="161">
        <f t="shared" si="6"/>
        <v>1285698.9299999995</v>
      </c>
    </row>
    <row r="51" spans="1:19">
      <c r="G51" s="71">
        <f>G40/5</f>
        <v>620.31783315339339</v>
      </c>
    </row>
  </sheetData>
  <autoFilter ref="A2:K2">
    <sortState ref="A3:K49">
      <sortCondition ref="G2"/>
    </sortState>
  </autoFilter>
  <mergeCells count="2">
    <mergeCell ref="H1:I1"/>
    <mergeCell ref="J1:K1"/>
  </mergeCells>
  <conditionalFormatting sqref="F2:G2">
    <cfRule type="dataBar" priority="4">
      <dataBar>
        <cfvo type="min"/>
        <cfvo type="max"/>
        <color rgb="FF638EC6"/>
      </dataBar>
      <extLst>
        <ext xmlns:x14="http://schemas.microsoft.com/office/spreadsheetml/2009/9/main" uri="{B025F937-C7B1-47D3-B67F-A62EFF666E3E}">
          <x14:id>{320C8EBF-DA76-8244-B753-4D671781202D}</x14:id>
        </ext>
      </extLst>
    </cfRule>
  </conditionalFormatting>
  <conditionalFormatting sqref="D2:E2">
    <cfRule type="dataBar" priority="3">
      <dataBar>
        <cfvo type="min"/>
        <cfvo type="max"/>
        <color rgb="FF638EC6"/>
      </dataBar>
      <extLst>
        <ext xmlns:x14="http://schemas.microsoft.com/office/spreadsheetml/2009/9/main" uri="{B025F937-C7B1-47D3-B67F-A62EFF666E3E}">
          <x14:id>{B11CC2BB-4FFE-F142-AF9D-3E50BA977AC9}</x14:id>
        </ext>
      </extLst>
    </cfRule>
  </conditionalFormatting>
  <conditionalFormatting sqref="H1">
    <cfRule type="dataBar" priority="2">
      <dataBar>
        <cfvo type="min"/>
        <cfvo type="max"/>
        <color rgb="FF638EC6"/>
      </dataBar>
      <extLst>
        <ext xmlns:x14="http://schemas.microsoft.com/office/spreadsheetml/2009/9/main" uri="{B025F937-C7B1-47D3-B67F-A62EFF666E3E}">
          <x14:id>{EBB58AF6-0A8E-4441-A4A0-4506CFD6097D}</x14:id>
        </ext>
      </extLst>
    </cfRule>
  </conditionalFormatting>
  <conditionalFormatting sqref="J1">
    <cfRule type="dataBar" priority="1">
      <dataBar>
        <cfvo type="min"/>
        <cfvo type="max"/>
        <color rgb="FF638EC6"/>
      </dataBar>
      <extLst>
        <ext xmlns:x14="http://schemas.microsoft.com/office/spreadsheetml/2009/9/main" uri="{B025F937-C7B1-47D3-B67F-A62EFF666E3E}">
          <x14:id>{C72E3AFE-CB82-3143-8B66-F33D31575FA9}</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20C8EBF-DA76-8244-B753-4D671781202D}">
            <x14:dataBar minLength="0" maxLength="100" border="1" negativeBarBorderColorSameAsPositive="0">
              <x14:cfvo type="autoMin"/>
              <x14:cfvo type="autoMax"/>
              <x14:borderColor rgb="FF638EC6"/>
              <x14:negativeFillColor rgb="FFFF0000"/>
              <x14:negativeBorderColor rgb="FFFF0000"/>
              <x14:axisColor rgb="FF000000"/>
            </x14:dataBar>
          </x14:cfRule>
          <xm:sqref>F2:G2</xm:sqref>
        </x14:conditionalFormatting>
        <x14:conditionalFormatting xmlns:xm="http://schemas.microsoft.com/office/excel/2006/main">
          <x14:cfRule type="dataBar" id="{B11CC2BB-4FFE-F142-AF9D-3E50BA977AC9}">
            <x14:dataBar minLength="0" maxLength="100" border="1" negativeBarBorderColorSameAsPositive="0">
              <x14:cfvo type="autoMin"/>
              <x14:cfvo type="autoMax"/>
              <x14:borderColor rgb="FF638EC6"/>
              <x14:negativeFillColor rgb="FFFF0000"/>
              <x14:negativeBorderColor rgb="FFFF0000"/>
              <x14:axisColor rgb="FF000000"/>
            </x14:dataBar>
          </x14:cfRule>
          <xm:sqref>D2:E2</xm:sqref>
        </x14:conditionalFormatting>
        <x14:conditionalFormatting xmlns:xm="http://schemas.microsoft.com/office/excel/2006/main">
          <x14:cfRule type="dataBar" id="{EBB58AF6-0A8E-4441-A4A0-4506CFD6097D}">
            <x14:dataBar minLength="0" maxLength="100" border="1" negativeBarBorderColorSameAsPositive="0">
              <x14:cfvo type="autoMin"/>
              <x14:cfvo type="autoMax"/>
              <x14:borderColor rgb="FF638EC6"/>
              <x14:negativeFillColor rgb="FFFF0000"/>
              <x14:negativeBorderColor rgb="FFFF0000"/>
              <x14:axisColor rgb="FF000000"/>
            </x14:dataBar>
          </x14:cfRule>
          <xm:sqref>H1</xm:sqref>
        </x14:conditionalFormatting>
        <x14:conditionalFormatting xmlns:xm="http://schemas.microsoft.com/office/excel/2006/main">
          <x14:cfRule type="dataBar" id="{C72E3AFE-CB82-3143-8B66-F33D31575FA9}">
            <x14:dataBar minLength="0" maxLength="100" border="1" negativeBarBorderColorSameAsPositive="0">
              <x14:cfvo type="autoMin"/>
              <x14:cfvo type="autoMax"/>
              <x14:borderColor rgb="FF638EC6"/>
              <x14:negativeFillColor rgb="FFFF0000"/>
              <x14:negativeBorderColor rgb="FFFF0000"/>
              <x14:axisColor rgb="FF000000"/>
            </x14:dataBar>
          </x14:cfRule>
          <xm:sqref>J1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zoomScale="50" zoomScaleNormal="50" workbookViewId="0">
      <pane xSplit="2" ySplit="2" topLeftCell="C3" activePane="bottomRight" state="frozen"/>
      <selection pane="topRight" activeCell="G1" sqref="G1"/>
      <selection pane="bottomLeft" activeCell="A3" sqref="A3"/>
      <selection pane="bottomRight" activeCell="Y49" sqref="Y49"/>
    </sheetView>
  </sheetViews>
  <sheetFormatPr baseColWidth="10" defaultColWidth="10.6328125" defaultRowHeight="14.5"/>
  <cols>
    <col min="1" max="1" width="14.453125" style="51" customWidth="1"/>
    <col min="2" max="2" width="47.81640625" style="79" customWidth="1"/>
    <col min="3" max="3" width="10.6328125" style="158" customWidth="1"/>
    <col min="4" max="4" width="16.1796875" style="144" customWidth="1"/>
    <col min="5" max="5" width="14.36328125" style="144" bestFit="1" customWidth="1"/>
    <col min="6" max="7" width="10.36328125" style="51" customWidth="1"/>
    <col min="8" max="11" width="9.36328125" style="145" customWidth="1"/>
    <col min="12" max="14" width="10.6328125" style="51"/>
    <col min="15" max="15" width="14.1796875" style="51" customWidth="1"/>
    <col min="16" max="16" width="11.81640625" style="51" bestFit="1" customWidth="1"/>
    <col min="17" max="16384" width="10.6328125" style="51"/>
  </cols>
  <sheetData>
    <row r="1" spans="1:18" ht="23.5">
      <c r="A1" s="56" t="s">
        <v>591</v>
      </c>
      <c r="B1" s="57"/>
      <c r="C1" s="153"/>
      <c r="D1" s="137"/>
      <c r="E1" s="138"/>
      <c r="F1" s="58"/>
      <c r="G1" s="59"/>
      <c r="H1" s="293" t="s">
        <v>60</v>
      </c>
      <c r="I1" s="294"/>
      <c r="J1" s="294" t="s">
        <v>611</v>
      </c>
      <c r="K1" s="295"/>
    </row>
    <row r="2" spans="1:18" s="64" customFormat="1">
      <c r="A2" s="60" t="s">
        <v>0</v>
      </c>
      <c r="B2" s="61" t="s">
        <v>147</v>
      </c>
      <c r="C2" s="154" t="s">
        <v>202</v>
      </c>
      <c r="D2" s="139" t="s">
        <v>60</v>
      </c>
      <c r="E2" s="140" t="s">
        <v>611</v>
      </c>
      <c r="F2" s="62" t="s">
        <v>60</v>
      </c>
      <c r="G2" s="63" t="s">
        <v>611</v>
      </c>
      <c r="H2" s="146" t="s">
        <v>563</v>
      </c>
      <c r="I2" s="147" t="s">
        <v>564</v>
      </c>
      <c r="J2" s="147" t="s">
        <v>563</v>
      </c>
      <c r="K2" s="148" t="s">
        <v>564</v>
      </c>
      <c r="L2" s="64" t="s">
        <v>612</v>
      </c>
      <c r="N2" s="64" t="s">
        <v>594</v>
      </c>
      <c r="P2" s="64" t="s">
        <v>596</v>
      </c>
    </row>
    <row r="3" spans="1:18" s="71" customFormat="1">
      <c r="A3" s="65" t="s">
        <v>437</v>
      </c>
      <c r="B3" s="66" t="s">
        <v>399</v>
      </c>
      <c r="C3" s="156">
        <v>2</v>
      </c>
      <c r="D3" s="141" t="s">
        <v>570</v>
      </c>
      <c r="E3" s="142" t="s">
        <v>583</v>
      </c>
      <c r="F3" s="136">
        <v>2.3910058E-4</v>
      </c>
      <c r="G3" s="135">
        <v>0.33099667958134404</v>
      </c>
      <c r="H3" s="151">
        <v>1.1955029E-4</v>
      </c>
      <c r="I3" s="151">
        <v>4.7820116E-4</v>
      </c>
      <c r="J3" s="152">
        <v>0.16549833979067202</v>
      </c>
      <c r="K3" s="152">
        <v>0.66199335916268809</v>
      </c>
      <c r="L3" s="160">
        <f>K3-G3</f>
        <v>0.33099667958134404</v>
      </c>
      <c r="M3" s="160">
        <f>G3-J3</f>
        <v>0.16549833979067202</v>
      </c>
      <c r="N3" s="162">
        <f>I3-F3</f>
        <v>2.3910058E-4</v>
      </c>
      <c r="O3" s="162">
        <f>F3-H3</f>
        <v>1.1955029E-4</v>
      </c>
      <c r="P3" s="160">
        <f>F3*1000</f>
        <v>0.23910058000000001</v>
      </c>
      <c r="Q3" s="71">
        <f>N3*1000</f>
        <v>0.23910058000000001</v>
      </c>
      <c r="R3" s="71">
        <f>O3*1000</f>
        <v>0.11955029</v>
      </c>
    </row>
    <row r="4" spans="1:18" s="71" customFormat="1">
      <c r="A4" s="65" t="s">
        <v>437</v>
      </c>
      <c r="B4" s="66" t="s">
        <v>387</v>
      </c>
      <c r="C4" s="156">
        <v>2</v>
      </c>
      <c r="D4" s="141" t="s">
        <v>569</v>
      </c>
      <c r="E4" s="142" t="s">
        <v>582</v>
      </c>
      <c r="F4" s="69">
        <v>9.2205654000000001E-3</v>
      </c>
      <c r="G4" s="70">
        <v>11.977133861136949</v>
      </c>
      <c r="H4" s="149">
        <v>4.6102827000000001E-3</v>
      </c>
      <c r="I4" s="149">
        <v>1.84411308E-2</v>
      </c>
      <c r="J4" s="150">
        <v>5.9885669305684743</v>
      </c>
      <c r="K4" s="150">
        <v>23.954267722273897</v>
      </c>
      <c r="L4" s="160">
        <f t="shared" ref="L4:L19" si="0">K4-G4</f>
        <v>11.977133861136949</v>
      </c>
      <c r="M4" s="160">
        <f t="shared" ref="M4:M19" si="1">G4-J4</f>
        <v>5.9885669305684743</v>
      </c>
      <c r="N4" s="162">
        <f t="shared" ref="N4:N19" si="2">I4-F4</f>
        <v>9.2205654000000001E-3</v>
      </c>
      <c r="O4" s="162">
        <f t="shared" ref="O4:O19" si="3">F4-H4</f>
        <v>4.6102827000000001E-3</v>
      </c>
      <c r="P4" s="160">
        <f t="shared" ref="P4:P19" si="4">F4*1000</f>
        <v>9.2205653999999999</v>
      </c>
      <c r="Q4" s="71">
        <f t="shared" ref="Q4:Q19" si="5">N4*1000</f>
        <v>9.2205653999999999</v>
      </c>
      <c r="R4" s="71">
        <f t="shared" ref="R4:R19" si="6">O4*1000</f>
        <v>4.6102827</v>
      </c>
    </row>
    <row r="5" spans="1:18" s="71" customFormat="1">
      <c r="A5" s="65" t="s">
        <v>437</v>
      </c>
      <c r="B5" s="66" t="s">
        <v>389</v>
      </c>
      <c r="C5" s="156">
        <v>2</v>
      </c>
      <c r="D5" s="141" t="s">
        <v>568</v>
      </c>
      <c r="E5" s="142" t="s">
        <v>581</v>
      </c>
      <c r="F5" s="69">
        <v>1.3372922000000001E-2</v>
      </c>
      <c r="G5" s="70">
        <v>13.465215331960669</v>
      </c>
      <c r="H5" s="149">
        <v>6.6864610000000003E-3</v>
      </c>
      <c r="I5" s="149">
        <v>2.6745844000000001E-2</v>
      </c>
      <c r="J5" s="150">
        <v>6.7326076659803347</v>
      </c>
      <c r="K5" s="150">
        <v>26.930430663921339</v>
      </c>
      <c r="L5" s="160">
        <f t="shared" si="0"/>
        <v>13.465215331960669</v>
      </c>
      <c r="M5" s="160">
        <f t="shared" si="1"/>
        <v>6.7326076659803347</v>
      </c>
      <c r="N5" s="162">
        <f t="shared" si="2"/>
        <v>1.3372922000000001E-2</v>
      </c>
      <c r="O5" s="162">
        <f t="shared" si="3"/>
        <v>6.6864610000000003E-3</v>
      </c>
      <c r="P5" s="160">
        <f t="shared" si="4"/>
        <v>13.372922000000001</v>
      </c>
      <c r="Q5" s="71">
        <f t="shared" si="5"/>
        <v>13.372922000000001</v>
      </c>
      <c r="R5" s="71">
        <f t="shared" si="6"/>
        <v>6.6864610000000004</v>
      </c>
    </row>
    <row r="6" spans="1:18" s="71" customFormat="1">
      <c r="A6" s="65" t="s">
        <v>437</v>
      </c>
      <c r="B6" s="66" t="s">
        <v>388</v>
      </c>
      <c r="C6" s="155">
        <v>0.5</v>
      </c>
      <c r="D6" s="141" t="s">
        <v>565</v>
      </c>
      <c r="E6" s="142" t="s">
        <v>578</v>
      </c>
      <c r="F6" s="69">
        <v>1.1167678E-2</v>
      </c>
      <c r="G6" s="70">
        <v>13.93633574224204</v>
      </c>
      <c r="H6" s="149">
        <v>5.5838390000000002E-3</v>
      </c>
      <c r="I6" s="149">
        <v>1.6751517E-2</v>
      </c>
      <c r="J6" s="150">
        <v>6.96816787112102</v>
      </c>
      <c r="K6" s="150">
        <v>20.904503613363062</v>
      </c>
      <c r="L6" s="160">
        <f t="shared" si="0"/>
        <v>6.9681678711210218</v>
      </c>
      <c r="M6" s="160">
        <f t="shared" si="1"/>
        <v>6.96816787112102</v>
      </c>
      <c r="N6" s="162">
        <f t="shared" si="2"/>
        <v>5.5838390000000002E-3</v>
      </c>
      <c r="O6" s="162">
        <f t="shared" si="3"/>
        <v>5.5838390000000002E-3</v>
      </c>
      <c r="P6" s="160">
        <f t="shared" si="4"/>
        <v>11.167678</v>
      </c>
      <c r="Q6" s="71">
        <f t="shared" si="5"/>
        <v>5.5838390000000002</v>
      </c>
      <c r="R6" s="71">
        <f t="shared" si="6"/>
        <v>5.5838390000000002</v>
      </c>
    </row>
    <row r="7" spans="1:18" s="71" customFormat="1">
      <c r="A7" s="65" t="s">
        <v>437</v>
      </c>
      <c r="B7" s="66" t="s">
        <v>447</v>
      </c>
      <c r="C7" s="156">
        <v>2</v>
      </c>
      <c r="D7" s="141" t="s">
        <v>571</v>
      </c>
      <c r="E7" s="142" t="s">
        <v>584</v>
      </c>
      <c r="F7" s="69">
        <v>1.2499263E-2</v>
      </c>
      <c r="G7" s="70">
        <v>15.2718451462299</v>
      </c>
      <c r="H7" s="149">
        <v>6.2496315E-3</v>
      </c>
      <c r="I7" s="149">
        <v>2.4998526E-2</v>
      </c>
      <c r="J7" s="150">
        <v>7.63592257311495</v>
      </c>
      <c r="K7" s="150">
        <v>30.5436902924598</v>
      </c>
      <c r="L7" s="160">
        <f t="shared" si="0"/>
        <v>15.2718451462299</v>
      </c>
      <c r="M7" s="160">
        <f t="shared" si="1"/>
        <v>7.63592257311495</v>
      </c>
      <c r="N7" s="162">
        <f t="shared" si="2"/>
        <v>1.2499263E-2</v>
      </c>
      <c r="O7" s="162">
        <f t="shared" si="3"/>
        <v>6.2496315E-3</v>
      </c>
      <c r="P7" s="160">
        <f t="shared" si="4"/>
        <v>12.499263000000001</v>
      </c>
      <c r="Q7" s="71">
        <f t="shared" si="5"/>
        <v>12.499263000000001</v>
      </c>
      <c r="R7" s="71">
        <f t="shared" si="6"/>
        <v>6.2496315000000005</v>
      </c>
    </row>
    <row r="8" spans="1:18" s="71" customFormat="1">
      <c r="A8" s="65" t="s">
        <v>438</v>
      </c>
      <c r="B8" s="66" t="s">
        <v>48</v>
      </c>
      <c r="C8" s="156">
        <v>2</v>
      </c>
      <c r="D8" s="141" t="s">
        <v>550</v>
      </c>
      <c r="E8" s="142" t="s">
        <v>584</v>
      </c>
      <c r="F8" s="69">
        <v>2.4259216E-2</v>
      </c>
      <c r="G8" s="70">
        <v>17.312235200913868</v>
      </c>
      <c r="H8" s="149">
        <v>1.2129608E-2</v>
      </c>
      <c r="I8" s="149">
        <v>4.8518432E-2</v>
      </c>
      <c r="J8" s="150">
        <v>8.656117600456934</v>
      </c>
      <c r="K8" s="150">
        <v>34.624470401827736</v>
      </c>
      <c r="L8" s="160">
        <f t="shared" si="0"/>
        <v>17.312235200913868</v>
      </c>
      <c r="M8" s="160">
        <f t="shared" si="1"/>
        <v>8.656117600456934</v>
      </c>
      <c r="N8" s="162">
        <f t="shared" si="2"/>
        <v>2.4259216E-2</v>
      </c>
      <c r="O8" s="162">
        <f t="shared" si="3"/>
        <v>1.2129608E-2</v>
      </c>
      <c r="P8" s="160">
        <f t="shared" si="4"/>
        <v>24.259215999999999</v>
      </c>
      <c r="Q8" s="71">
        <f t="shared" si="5"/>
        <v>24.259215999999999</v>
      </c>
      <c r="R8" s="71">
        <f t="shared" si="6"/>
        <v>12.129607999999999</v>
      </c>
    </row>
    <row r="9" spans="1:18" s="71" customFormat="1">
      <c r="A9" s="65" t="s">
        <v>437</v>
      </c>
      <c r="B9" s="66" t="s">
        <v>168</v>
      </c>
      <c r="C9" s="156">
        <v>4</v>
      </c>
      <c r="D9" s="141" t="s">
        <v>575</v>
      </c>
      <c r="E9" s="142" t="s">
        <v>588</v>
      </c>
      <c r="F9" s="69">
        <v>2.9473590000000001E-2</v>
      </c>
      <c r="G9" s="70">
        <v>29.744354649810532</v>
      </c>
      <c r="H9" s="149">
        <v>7.3683975000000002E-3</v>
      </c>
      <c r="I9" s="149">
        <v>0.11789436</v>
      </c>
      <c r="J9" s="150">
        <v>7.436088662452633</v>
      </c>
      <c r="K9" s="150">
        <v>118.97741859924213</v>
      </c>
      <c r="L9" s="160">
        <f t="shared" si="0"/>
        <v>89.233063949431596</v>
      </c>
      <c r="M9" s="160">
        <f t="shared" si="1"/>
        <v>22.308265987357899</v>
      </c>
      <c r="N9" s="162">
        <f t="shared" si="2"/>
        <v>8.842077000000001E-2</v>
      </c>
      <c r="O9" s="162">
        <f t="shared" si="3"/>
        <v>2.2105192500000002E-2</v>
      </c>
      <c r="P9" s="160">
        <f t="shared" si="4"/>
        <v>29.473590000000002</v>
      </c>
      <c r="Q9" s="71">
        <f t="shared" si="5"/>
        <v>88.420770000000005</v>
      </c>
      <c r="R9" s="71">
        <f t="shared" si="6"/>
        <v>22.105192500000001</v>
      </c>
    </row>
    <row r="10" spans="1:18" s="71" customFormat="1">
      <c r="A10" s="65" t="s">
        <v>438</v>
      </c>
      <c r="B10" s="66" t="s">
        <v>55</v>
      </c>
      <c r="C10" s="155">
        <v>0.5</v>
      </c>
      <c r="D10" s="141" t="s">
        <v>566</v>
      </c>
      <c r="E10" s="142" t="s">
        <v>579</v>
      </c>
      <c r="F10" s="69">
        <v>2.3317665000000001E-2</v>
      </c>
      <c r="G10" s="70">
        <v>35.005687060780502</v>
      </c>
      <c r="H10" s="149">
        <v>1.1658832500000001E-2</v>
      </c>
      <c r="I10" s="149">
        <v>3.4976497500000002E-2</v>
      </c>
      <c r="J10" s="150">
        <v>17.502843530390251</v>
      </c>
      <c r="K10" s="150">
        <v>52.508530591170754</v>
      </c>
      <c r="L10" s="160">
        <f t="shared" si="0"/>
        <v>17.502843530390251</v>
      </c>
      <c r="M10" s="160">
        <f t="shared" si="1"/>
        <v>17.502843530390251</v>
      </c>
      <c r="N10" s="162">
        <f t="shared" si="2"/>
        <v>1.1658832500000001E-2</v>
      </c>
      <c r="O10" s="162">
        <f t="shared" si="3"/>
        <v>1.1658832500000001E-2</v>
      </c>
      <c r="P10" s="160">
        <f t="shared" si="4"/>
        <v>23.317665000000002</v>
      </c>
      <c r="Q10" s="71">
        <f t="shared" si="5"/>
        <v>11.658832500000001</v>
      </c>
      <c r="R10" s="71">
        <f t="shared" si="6"/>
        <v>11.658832500000001</v>
      </c>
    </row>
    <row r="11" spans="1:18" s="71" customFormat="1">
      <c r="A11" s="65" t="s">
        <v>438</v>
      </c>
      <c r="B11" s="66" t="s">
        <v>58</v>
      </c>
      <c r="C11" s="155">
        <v>0.5</v>
      </c>
      <c r="D11" s="141" t="s">
        <v>566</v>
      </c>
      <c r="E11" s="142" t="s">
        <v>580</v>
      </c>
      <c r="F11" s="69">
        <v>2.6666532E-2</v>
      </c>
      <c r="G11" s="70">
        <v>42.501973704446463</v>
      </c>
      <c r="H11" s="149">
        <v>1.3333266E-2</v>
      </c>
      <c r="I11" s="149">
        <v>3.9999798000000003E-2</v>
      </c>
      <c r="J11" s="150">
        <v>21.250986852223232</v>
      </c>
      <c r="K11" s="150">
        <v>63.752960556669692</v>
      </c>
      <c r="L11" s="160">
        <f t="shared" si="0"/>
        <v>21.250986852223228</v>
      </c>
      <c r="M11" s="160">
        <f t="shared" si="1"/>
        <v>21.250986852223232</v>
      </c>
      <c r="N11" s="162">
        <f t="shared" si="2"/>
        <v>1.3333266000000003E-2</v>
      </c>
      <c r="O11" s="162">
        <f t="shared" si="3"/>
        <v>1.3333266E-2</v>
      </c>
      <c r="P11" s="160">
        <f t="shared" si="4"/>
        <v>26.666532</v>
      </c>
      <c r="Q11" s="71">
        <f t="shared" si="5"/>
        <v>13.333266000000004</v>
      </c>
      <c r="R11" s="71">
        <f t="shared" si="6"/>
        <v>13.333266</v>
      </c>
    </row>
    <row r="12" spans="1:18" s="71" customFormat="1">
      <c r="A12" s="65" t="s">
        <v>438</v>
      </c>
      <c r="B12" s="66" t="s">
        <v>56</v>
      </c>
      <c r="C12" s="155">
        <v>0.5</v>
      </c>
      <c r="D12" s="141" t="s">
        <v>540</v>
      </c>
      <c r="E12" s="142" t="s">
        <v>497</v>
      </c>
      <c r="F12" s="69">
        <v>3.4961933000000001E-2</v>
      </c>
      <c r="G12" s="70">
        <v>51.137872897834605</v>
      </c>
      <c r="H12" s="149">
        <v>1.74809665E-2</v>
      </c>
      <c r="I12" s="149">
        <v>5.2442899500000001E-2</v>
      </c>
      <c r="J12" s="150">
        <v>25.568936448917302</v>
      </c>
      <c r="K12" s="150">
        <v>76.706809346751911</v>
      </c>
      <c r="L12" s="160">
        <f t="shared" si="0"/>
        <v>25.568936448917306</v>
      </c>
      <c r="M12" s="160">
        <f t="shared" si="1"/>
        <v>25.568936448917302</v>
      </c>
      <c r="N12" s="162">
        <f t="shared" si="2"/>
        <v>1.74809665E-2</v>
      </c>
      <c r="O12" s="162">
        <f t="shared" si="3"/>
        <v>1.74809665E-2</v>
      </c>
      <c r="P12" s="160">
        <f t="shared" si="4"/>
        <v>34.961933000000002</v>
      </c>
      <c r="Q12" s="71">
        <f t="shared" si="5"/>
        <v>17.480966500000001</v>
      </c>
      <c r="R12" s="71">
        <f t="shared" si="6"/>
        <v>17.480966500000001</v>
      </c>
    </row>
    <row r="13" spans="1:18" s="71" customFormat="1">
      <c r="A13" s="65" t="s">
        <v>437</v>
      </c>
      <c r="B13" s="66" t="s">
        <v>169</v>
      </c>
      <c r="C13" s="156">
        <v>4</v>
      </c>
      <c r="D13" s="141" t="s">
        <v>576</v>
      </c>
      <c r="E13" s="142" t="s">
        <v>589</v>
      </c>
      <c r="F13" s="69">
        <v>5.3944858999999998E-2</v>
      </c>
      <c r="G13" s="70">
        <v>63.609473438008408</v>
      </c>
      <c r="H13" s="149">
        <v>1.3486214749999999E-2</v>
      </c>
      <c r="I13" s="149">
        <v>0.21577943599999999</v>
      </c>
      <c r="J13" s="150">
        <v>15.902368359502102</v>
      </c>
      <c r="K13" s="150">
        <v>254.43789375203363</v>
      </c>
      <c r="L13" s="160">
        <f t="shared" si="0"/>
        <v>190.82842031402521</v>
      </c>
      <c r="M13" s="160">
        <f t="shared" si="1"/>
        <v>47.707105078506302</v>
      </c>
      <c r="N13" s="162">
        <f t="shared" si="2"/>
        <v>0.16183457699999998</v>
      </c>
      <c r="O13" s="162">
        <f t="shared" si="3"/>
        <v>4.0458644249999995E-2</v>
      </c>
      <c r="P13" s="160">
        <f t="shared" si="4"/>
        <v>53.944859000000001</v>
      </c>
      <c r="Q13" s="71">
        <f t="shared" si="5"/>
        <v>161.83457699999997</v>
      </c>
      <c r="R13" s="71">
        <f t="shared" si="6"/>
        <v>40.458644249999992</v>
      </c>
    </row>
    <row r="14" spans="1:18" s="71" customFormat="1">
      <c r="A14" s="65" t="s">
        <v>38</v>
      </c>
      <c r="B14" s="66" t="s">
        <v>284</v>
      </c>
      <c r="C14" s="155">
        <v>0.4</v>
      </c>
      <c r="D14" s="141" t="s">
        <v>534</v>
      </c>
      <c r="E14" s="142" t="s">
        <v>476</v>
      </c>
      <c r="F14" s="69">
        <v>5.5192583000000003E-2</v>
      </c>
      <c r="G14" s="70">
        <v>74.138500861070739</v>
      </c>
      <c r="H14" s="149">
        <v>3.3115549800000005E-2</v>
      </c>
      <c r="I14" s="149">
        <v>7.7269616200000002E-2</v>
      </c>
      <c r="J14" s="150">
        <v>44.483100516642438</v>
      </c>
      <c r="K14" s="150">
        <v>103.79390120549904</v>
      </c>
      <c r="L14" s="160">
        <f t="shared" si="0"/>
        <v>29.655400344428301</v>
      </c>
      <c r="M14" s="160">
        <f t="shared" si="1"/>
        <v>29.655400344428301</v>
      </c>
      <c r="N14" s="162">
        <f t="shared" si="2"/>
        <v>2.2077033199999999E-2</v>
      </c>
      <c r="O14" s="162">
        <f t="shared" si="3"/>
        <v>2.2077033199999999E-2</v>
      </c>
      <c r="P14" s="160">
        <f t="shared" si="4"/>
        <v>55.192583000000006</v>
      </c>
      <c r="Q14" s="71">
        <f t="shared" si="5"/>
        <v>22.077033199999999</v>
      </c>
      <c r="R14" s="71">
        <f t="shared" si="6"/>
        <v>22.077033199999999</v>
      </c>
    </row>
    <row r="15" spans="1:18" s="71" customFormat="1">
      <c r="A15" s="65" t="s">
        <v>438</v>
      </c>
      <c r="B15" s="66" t="s">
        <v>343</v>
      </c>
      <c r="C15" s="155">
        <v>0.5</v>
      </c>
      <c r="D15" s="141" t="s">
        <v>567</v>
      </c>
      <c r="E15" s="142" t="s">
        <v>502</v>
      </c>
      <c r="F15" s="69">
        <v>0.11774149</v>
      </c>
      <c r="G15" s="70">
        <v>125.3715286226643</v>
      </c>
      <c r="H15" s="149">
        <v>5.8870745000000002E-2</v>
      </c>
      <c r="I15" s="149">
        <v>0.17661223500000001</v>
      </c>
      <c r="J15" s="150">
        <v>62.68576431133215</v>
      </c>
      <c r="K15" s="150">
        <v>188.05729293399645</v>
      </c>
      <c r="L15" s="160">
        <f t="shared" si="0"/>
        <v>62.68576431133215</v>
      </c>
      <c r="M15" s="160">
        <f t="shared" si="1"/>
        <v>62.68576431133215</v>
      </c>
      <c r="N15" s="162">
        <f t="shared" si="2"/>
        <v>5.8870745000000002E-2</v>
      </c>
      <c r="O15" s="162">
        <f t="shared" si="3"/>
        <v>5.8870745000000002E-2</v>
      </c>
      <c r="P15" s="160">
        <f t="shared" si="4"/>
        <v>117.74149</v>
      </c>
      <c r="Q15" s="71">
        <f t="shared" si="5"/>
        <v>58.870744999999999</v>
      </c>
      <c r="R15" s="71">
        <f t="shared" si="6"/>
        <v>58.870744999999999</v>
      </c>
    </row>
    <row r="16" spans="1:18" s="71" customFormat="1">
      <c r="A16" s="65" t="s">
        <v>438</v>
      </c>
      <c r="B16" s="66" t="s">
        <v>57</v>
      </c>
      <c r="C16" s="156">
        <v>2</v>
      </c>
      <c r="D16" s="141" t="s">
        <v>572</v>
      </c>
      <c r="E16" s="142" t="s">
        <v>585</v>
      </c>
      <c r="F16" s="69">
        <v>0.14324999999999999</v>
      </c>
      <c r="G16" s="70">
        <v>178.6164082908914</v>
      </c>
      <c r="H16" s="149">
        <v>7.1624999999999994E-2</v>
      </c>
      <c r="I16" s="149">
        <v>0.28649999999999998</v>
      </c>
      <c r="J16" s="150">
        <v>89.3082041454457</v>
      </c>
      <c r="K16" s="150">
        <v>357.2328165817828</v>
      </c>
      <c r="L16" s="160">
        <f t="shared" si="0"/>
        <v>178.6164082908914</v>
      </c>
      <c r="M16" s="160">
        <f t="shared" si="1"/>
        <v>89.3082041454457</v>
      </c>
      <c r="N16" s="162">
        <f t="shared" si="2"/>
        <v>0.14324999999999999</v>
      </c>
      <c r="O16" s="162">
        <f t="shared" si="3"/>
        <v>7.1624999999999994E-2</v>
      </c>
      <c r="P16" s="160">
        <f t="shared" si="4"/>
        <v>143.25</v>
      </c>
      <c r="Q16" s="71">
        <f t="shared" si="5"/>
        <v>143.25</v>
      </c>
      <c r="R16" s="71">
        <f t="shared" si="6"/>
        <v>71.625</v>
      </c>
    </row>
    <row r="17" spans="1:18" s="71" customFormat="1">
      <c r="A17" s="65" t="s">
        <v>438</v>
      </c>
      <c r="B17" s="66" t="s">
        <v>160</v>
      </c>
      <c r="C17" s="156">
        <v>3</v>
      </c>
      <c r="D17" s="141" t="s">
        <v>573</v>
      </c>
      <c r="E17" s="142" t="s">
        <v>586</v>
      </c>
      <c r="F17" s="69">
        <v>0.22940548999999999</v>
      </c>
      <c r="G17" s="70">
        <v>279.27793217704232</v>
      </c>
      <c r="H17" s="149">
        <v>7.6468496666666663E-2</v>
      </c>
      <c r="I17" s="149">
        <v>0.68821646999999997</v>
      </c>
      <c r="J17" s="150">
        <v>93.092644059014106</v>
      </c>
      <c r="K17" s="150">
        <v>837.83379653112695</v>
      </c>
      <c r="L17" s="160">
        <f t="shared" si="0"/>
        <v>558.55586435408463</v>
      </c>
      <c r="M17" s="160">
        <f t="shared" si="1"/>
        <v>186.18528811802821</v>
      </c>
      <c r="N17" s="162">
        <f t="shared" si="2"/>
        <v>0.45881097999999998</v>
      </c>
      <c r="O17" s="162">
        <f t="shared" si="3"/>
        <v>0.15293699333333333</v>
      </c>
      <c r="P17" s="160">
        <f t="shared" si="4"/>
        <v>229.40548999999999</v>
      </c>
      <c r="Q17" s="71">
        <f t="shared" si="5"/>
        <v>458.81097999999997</v>
      </c>
      <c r="R17" s="71">
        <f t="shared" si="6"/>
        <v>152.93699333333333</v>
      </c>
    </row>
    <row r="18" spans="1:18" s="71" customFormat="1">
      <c r="A18" s="65" t="s">
        <v>437</v>
      </c>
      <c r="B18" s="66" t="s">
        <v>167</v>
      </c>
      <c r="C18" s="156">
        <v>4</v>
      </c>
      <c r="D18" s="141" t="s">
        <v>574</v>
      </c>
      <c r="E18" s="142" t="s">
        <v>587</v>
      </c>
      <c r="F18" s="69">
        <v>0.29274176000000002</v>
      </c>
      <c r="G18" s="70">
        <v>292.97211279539545</v>
      </c>
      <c r="H18" s="149">
        <v>7.3185440000000004E-2</v>
      </c>
      <c r="I18" s="149">
        <v>1.1709670400000001</v>
      </c>
      <c r="J18" s="150">
        <v>73.243028198848862</v>
      </c>
      <c r="K18" s="150">
        <v>1171.8884511815818</v>
      </c>
      <c r="L18" s="160">
        <f t="shared" si="0"/>
        <v>878.91633838618634</v>
      </c>
      <c r="M18" s="160">
        <f t="shared" si="1"/>
        <v>219.72908459654658</v>
      </c>
      <c r="N18" s="162">
        <f t="shared" si="2"/>
        <v>0.87822528000000011</v>
      </c>
      <c r="O18" s="162">
        <f t="shared" si="3"/>
        <v>0.21955632000000003</v>
      </c>
      <c r="P18" s="160">
        <f t="shared" si="4"/>
        <v>292.74176</v>
      </c>
      <c r="Q18" s="71">
        <f t="shared" si="5"/>
        <v>878.22528000000011</v>
      </c>
      <c r="R18" s="71">
        <f t="shared" si="6"/>
        <v>219.55632000000003</v>
      </c>
    </row>
    <row r="19" spans="1:18" s="71" customFormat="1" ht="15" thickBot="1">
      <c r="A19" s="73" t="s">
        <v>38</v>
      </c>
      <c r="B19" s="74" t="s">
        <v>114</v>
      </c>
      <c r="C19" s="157">
        <v>10</v>
      </c>
      <c r="D19" s="143" t="s">
        <v>577</v>
      </c>
      <c r="E19" s="142" t="s">
        <v>590</v>
      </c>
      <c r="F19" s="77">
        <v>1.4641096</v>
      </c>
      <c r="G19" s="78">
        <v>937.170910924483</v>
      </c>
      <c r="H19" s="149">
        <v>0.14641096000000001</v>
      </c>
      <c r="I19" s="149">
        <v>14.641096000000001</v>
      </c>
      <c r="J19" s="150">
        <v>93.7170910924483</v>
      </c>
      <c r="K19" s="150">
        <v>9371.70910924483</v>
      </c>
      <c r="L19" s="160">
        <f t="shared" si="0"/>
        <v>8434.5381983203479</v>
      </c>
      <c r="M19" s="160">
        <f t="shared" si="1"/>
        <v>843.4538198320347</v>
      </c>
      <c r="N19" s="162">
        <f t="shared" si="2"/>
        <v>13.176986400000001</v>
      </c>
      <c r="O19" s="162">
        <f t="shared" si="3"/>
        <v>1.3176986399999999</v>
      </c>
      <c r="P19" s="160">
        <f t="shared" si="4"/>
        <v>1464.1096</v>
      </c>
      <c r="Q19" s="71">
        <f t="shared" si="5"/>
        <v>13176.9864</v>
      </c>
      <c r="R19" s="71">
        <f t="shared" si="6"/>
        <v>1317.6986399999998</v>
      </c>
    </row>
  </sheetData>
  <autoFilter ref="A2:K2">
    <sortState ref="A3:K19">
      <sortCondition ref="G2"/>
    </sortState>
  </autoFilter>
  <sortState ref="A3:K19">
    <sortCondition ref="C3:C19"/>
  </sortState>
  <mergeCells count="2">
    <mergeCell ref="H1:I1"/>
    <mergeCell ref="J1:K1"/>
  </mergeCells>
  <conditionalFormatting sqref="H1">
    <cfRule type="dataBar" priority="2">
      <dataBar>
        <cfvo type="min"/>
        <cfvo type="max"/>
        <color rgb="FF638EC6"/>
      </dataBar>
      <extLst>
        <ext xmlns:x14="http://schemas.microsoft.com/office/spreadsheetml/2009/9/main" uri="{B025F937-C7B1-47D3-B67F-A62EFF666E3E}">
          <x14:id>{9D1EF437-8C54-F24E-9220-2E47F7210708}</x14:id>
        </ext>
      </extLst>
    </cfRule>
  </conditionalFormatting>
  <conditionalFormatting sqref="J1">
    <cfRule type="dataBar" priority="1">
      <dataBar>
        <cfvo type="min"/>
        <cfvo type="max"/>
        <color rgb="FF638EC6"/>
      </dataBar>
      <extLst>
        <ext xmlns:x14="http://schemas.microsoft.com/office/spreadsheetml/2009/9/main" uri="{B025F937-C7B1-47D3-B67F-A62EFF666E3E}">
          <x14:id>{17EAE8BD-49AD-254A-922D-2A34F38E689D}</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D1EF437-8C54-F24E-9220-2E47F7210708}">
            <x14:dataBar minLength="0" maxLength="100" border="1" negativeBarBorderColorSameAsPositive="0">
              <x14:cfvo type="autoMin"/>
              <x14:cfvo type="autoMax"/>
              <x14:borderColor rgb="FF638EC6"/>
              <x14:negativeFillColor rgb="FFFF0000"/>
              <x14:negativeBorderColor rgb="FFFF0000"/>
              <x14:axisColor rgb="FF000000"/>
            </x14:dataBar>
          </x14:cfRule>
          <xm:sqref>H1</xm:sqref>
        </x14:conditionalFormatting>
        <x14:conditionalFormatting xmlns:xm="http://schemas.microsoft.com/office/excel/2006/main">
          <x14:cfRule type="dataBar" id="{17EAE8BD-49AD-254A-922D-2A34F38E689D}">
            <x14:dataBar minLength="0" maxLength="100" border="1" negativeBarBorderColorSameAsPositive="0">
              <x14:cfvo type="autoMin"/>
              <x14:cfvo type="autoMax"/>
              <x14:borderColor rgb="FF638EC6"/>
              <x14:negativeFillColor rgb="FFFF0000"/>
              <x14:negativeBorderColor rgb="FFFF0000"/>
              <x14:axisColor rgb="FF000000"/>
            </x14:dataBar>
          </x14:cfRule>
          <xm:sqref>J1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60" zoomScaleNormal="60" workbookViewId="0">
      <pane xSplit="2" ySplit="2" topLeftCell="D24" activePane="bottomRight" state="frozen"/>
      <selection pane="topRight" activeCell="G1" sqref="G1"/>
      <selection pane="bottomLeft" activeCell="A3" sqref="A3"/>
      <selection pane="bottomRight" activeCell="F14" sqref="F14"/>
    </sheetView>
  </sheetViews>
  <sheetFormatPr baseColWidth="10" defaultColWidth="10.6328125" defaultRowHeight="14.5"/>
  <cols>
    <col min="1" max="1" width="12" style="51" customWidth="1"/>
    <col min="2" max="2" width="65.1796875" style="79" customWidth="1"/>
    <col min="3" max="3" width="107.1796875" style="51" customWidth="1"/>
    <col min="4" max="4" width="19.1796875" style="51" customWidth="1"/>
    <col min="5" max="5" width="15.36328125" style="51" customWidth="1"/>
    <col min="6" max="6" width="20" style="51" customWidth="1"/>
    <col min="7" max="8" width="18.36328125" style="51" customWidth="1"/>
    <col min="9" max="9" width="16.1796875" style="71" customWidth="1"/>
    <col min="10" max="10" width="14.36328125" style="71" bestFit="1" customWidth="1"/>
    <col min="11" max="16384" width="10.6328125" style="51"/>
  </cols>
  <sheetData>
    <row r="1" spans="1:10" ht="23.5">
      <c r="A1" s="56" t="s">
        <v>178</v>
      </c>
      <c r="B1" s="57"/>
      <c r="C1" s="58"/>
      <c r="D1" s="58"/>
      <c r="E1" s="58"/>
      <c r="F1" s="58"/>
      <c r="G1" s="58"/>
      <c r="H1" s="58"/>
      <c r="I1" s="87"/>
      <c r="J1" s="88"/>
    </row>
    <row r="2" spans="1:10" s="64" customFormat="1">
      <c r="A2" s="60" t="s">
        <v>0</v>
      </c>
      <c r="B2" s="61" t="s">
        <v>147</v>
      </c>
      <c r="C2" s="61" t="s">
        <v>37</v>
      </c>
      <c r="D2" s="49" t="s">
        <v>26</v>
      </c>
      <c r="E2" s="49" t="s">
        <v>202</v>
      </c>
      <c r="F2" s="49" t="s">
        <v>258</v>
      </c>
      <c r="G2" s="49" t="s">
        <v>245</v>
      </c>
      <c r="H2" s="49" t="s">
        <v>129</v>
      </c>
      <c r="I2" s="62" t="s">
        <v>60</v>
      </c>
      <c r="J2" s="63" t="s">
        <v>611</v>
      </c>
    </row>
    <row r="3" spans="1:10" s="71" customFormat="1">
      <c r="A3" s="65" t="s">
        <v>439</v>
      </c>
      <c r="B3" s="66" t="s">
        <v>45</v>
      </c>
      <c r="C3" s="67" t="s">
        <v>381</v>
      </c>
      <c r="D3" s="67" t="s">
        <v>379</v>
      </c>
      <c r="E3" s="68" t="s">
        <v>200</v>
      </c>
      <c r="F3" s="67" t="s">
        <v>43</v>
      </c>
      <c r="G3" s="67" t="s">
        <v>383</v>
      </c>
      <c r="H3" s="67"/>
      <c r="I3" s="69">
        <v>8.1682391000000003E-3</v>
      </c>
      <c r="J3" s="70">
        <v>10.499639063324402</v>
      </c>
    </row>
    <row r="4" spans="1:10" s="71" customFormat="1">
      <c r="A4" s="65" t="s">
        <v>439</v>
      </c>
      <c r="B4" s="66" t="s">
        <v>54</v>
      </c>
      <c r="C4" s="67" t="s">
        <v>385</v>
      </c>
      <c r="D4" s="67" t="s">
        <v>384</v>
      </c>
      <c r="E4" s="68" t="s">
        <v>200</v>
      </c>
      <c r="F4" s="67" t="s">
        <v>43</v>
      </c>
      <c r="G4" s="67" t="s">
        <v>382</v>
      </c>
      <c r="H4" s="67"/>
      <c r="I4" s="69">
        <v>5.6809501999999998</v>
      </c>
      <c r="J4" s="70">
        <v>7694.5904610586485</v>
      </c>
    </row>
    <row r="5" spans="1:10" s="71" customFormat="1">
      <c r="A5" s="65" t="s">
        <v>439</v>
      </c>
      <c r="B5" s="66" t="s">
        <v>46</v>
      </c>
      <c r="C5" s="67" t="s">
        <v>386</v>
      </c>
      <c r="D5" s="67" t="s">
        <v>384</v>
      </c>
      <c r="E5" s="68" t="s">
        <v>200</v>
      </c>
      <c r="F5" s="67" t="s">
        <v>43</v>
      </c>
      <c r="G5" s="67" t="s">
        <v>382</v>
      </c>
      <c r="H5" s="67"/>
      <c r="I5" s="69">
        <v>5.6204077000000003</v>
      </c>
      <c r="J5" s="70">
        <v>7626.3133806981032</v>
      </c>
    </row>
    <row r="6" spans="1:10" s="71" customFormat="1">
      <c r="A6" s="65" t="s">
        <v>439</v>
      </c>
      <c r="B6" s="66" t="s">
        <v>189</v>
      </c>
      <c r="C6" s="67" t="s">
        <v>452</v>
      </c>
      <c r="D6" s="67" t="s">
        <v>27</v>
      </c>
      <c r="E6" s="68" t="s">
        <v>199</v>
      </c>
      <c r="F6" s="67" t="s">
        <v>119</v>
      </c>
      <c r="G6" s="67" t="s">
        <v>109</v>
      </c>
      <c r="H6" s="67"/>
      <c r="I6" s="69">
        <v>6.8896838E-3</v>
      </c>
      <c r="J6" s="70">
        <v>12.5922359177478</v>
      </c>
    </row>
    <row r="7" spans="1:10" s="71" customFormat="1">
      <c r="A7" s="65" t="s">
        <v>439</v>
      </c>
      <c r="B7" s="66" t="s">
        <v>251</v>
      </c>
      <c r="C7" s="67" t="s">
        <v>112</v>
      </c>
      <c r="D7" s="67" t="s">
        <v>27</v>
      </c>
      <c r="E7" s="68" t="s">
        <v>199</v>
      </c>
      <c r="F7" s="67" t="s">
        <v>453</v>
      </c>
      <c r="G7" s="67" t="s">
        <v>265</v>
      </c>
      <c r="H7" s="67" t="s">
        <v>174</v>
      </c>
      <c r="I7" s="69">
        <v>1.5912835E-2</v>
      </c>
      <c r="J7" s="70">
        <v>29.893633547256087</v>
      </c>
    </row>
    <row r="8" spans="1:10" s="71" customFormat="1">
      <c r="A8" s="65" t="s">
        <v>439</v>
      </c>
      <c r="B8" s="66" t="s">
        <v>166</v>
      </c>
      <c r="C8" s="67" t="s">
        <v>348</v>
      </c>
      <c r="D8" s="67" t="s">
        <v>28</v>
      </c>
      <c r="E8" s="68" t="s">
        <v>216</v>
      </c>
      <c r="F8" s="67" t="s">
        <v>351</v>
      </c>
      <c r="G8" s="67" t="s">
        <v>350</v>
      </c>
      <c r="H8" s="67" t="s">
        <v>349</v>
      </c>
      <c r="I8" s="69">
        <v>3.19302E-3</v>
      </c>
      <c r="J8" s="70">
        <v>4.5681808878244601</v>
      </c>
    </row>
    <row r="9" spans="1:10" s="71" customFormat="1">
      <c r="A9" s="65" t="s">
        <v>439</v>
      </c>
      <c r="B9" s="66" t="s">
        <v>344</v>
      </c>
      <c r="C9" s="67" t="s">
        <v>345</v>
      </c>
      <c r="D9" s="67" t="s">
        <v>28</v>
      </c>
      <c r="E9" s="68" t="s">
        <v>216</v>
      </c>
      <c r="F9" s="67" t="s">
        <v>186</v>
      </c>
      <c r="G9" s="67" t="s">
        <v>347</v>
      </c>
      <c r="H9" s="67" t="s">
        <v>346</v>
      </c>
      <c r="I9" s="69">
        <v>4.7456012999999998E-2</v>
      </c>
      <c r="J9" s="70">
        <v>65.504203731589712</v>
      </c>
    </row>
    <row r="10" spans="1:10" s="71" customFormat="1">
      <c r="A10" s="65" t="s">
        <v>439</v>
      </c>
      <c r="B10" s="66" t="s">
        <v>161</v>
      </c>
      <c r="C10" s="67" t="s">
        <v>255</v>
      </c>
      <c r="D10" s="67" t="s">
        <v>28</v>
      </c>
      <c r="E10" s="68" t="s">
        <v>309</v>
      </c>
      <c r="F10" s="80" t="s">
        <v>257</v>
      </c>
      <c r="G10" s="67" t="s">
        <v>256</v>
      </c>
      <c r="H10" s="81"/>
      <c r="I10" s="69">
        <v>2.75</v>
      </c>
      <c r="J10" s="70">
        <v>3101.5891657669667</v>
      </c>
    </row>
    <row r="11" spans="1:10" s="71" customFormat="1">
      <c r="A11" s="65" t="s">
        <v>439</v>
      </c>
      <c r="B11" s="66" t="s">
        <v>162</v>
      </c>
      <c r="C11" s="67" t="s">
        <v>156</v>
      </c>
      <c r="D11" s="67" t="s">
        <v>28</v>
      </c>
      <c r="E11" s="68" t="s">
        <v>309</v>
      </c>
      <c r="F11" s="67" t="s">
        <v>257</v>
      </c>
      <c r="G11" s="67" t="s">
        <v>256</v>
      </c>
      <c r="H11" s="81"/>
      <c r="I11" s="69">
        <v>2.109</v>
      </c>
      <c r="J11" s="70">
        <v>2385.129922564201</v>
      </c>
    </row>
    <row r="12" spans="1:10" s="71" customFormat="1">
      <c r="A12" s="65" t="s">
        <v>439</v>
      </c>
      <c r="B12" s="66" t="s">
        <v>163</v>
      </c>
      <c r="C12" s="67" t="s">
        <v>259</v>
      </c>
      <c r="D12" s="67" t="s">
        <v>27</v>
      </c>
      <c r="E12" s="68" t="s">
        <v>260</v>
      </c>
      <c r="F12" s="67" t="s">
        <v>261</v>
      </c>
      <c r="G12" s="67" t="s">
        <v>134</v>
      </c>
      <c r="H12" s="67" t="s">
        <v>173</v>
      </c>
      <c r="I12" s="69">
        <v>3.7867954000000002E-2</v>
      </c>
      <c r="J12" s="70">
        <v>58.936062782308689</v>
      </c>
    </row>
    <row r="13" spans="1:10" s="71" customFormat="1">
      <c r="A13" s="65" t="s">
        <v>437</v>
      </c>
      <c r="B13" s="66" t="s">
        <v>252</v>
      </c>
      <c r="C13" s="67" t="s">
        <v>264</v>
      </c>
      <c r="D13" s="67" t="s">
        <v>177</v>
      </c>
      <c r="E13" s="68" t="s">
        <v>217</v>
      </c>
      <c r="F13" s="67" t="s">
        <v>263</v>
      </c>
      <c r="G13" s="67" t="s">
        <v>188</v>
      </c>
      <c r="H13" s="67" t="s">
        <v>404</v>
      </c>
      <c r="I13" s="69">
        <v>8.2431844000000004E-2</v>
      </c>
      <c r="J13" s="70">
        <v>115.08819806215908</v>
      </c>
    </row>
    <row r="14" spans="1:10" s="71" customFormat="1">
      <c r="A14" s="65" t="s">
        <v>437</v>
      </c>
      <c r="B14" s="66" t="s">
        <v>187</v>
      </c>
      <c r="C14" s="67" t="s">
        <v>262</v>
      </c>
      <c r="D14" s="67" t="s">
        <v>176</v>
      </c>
      <c r="E14" s="82" t="s">
        <v>199</v>
      </c>
      <c r="F14" s="80" t="s">
        <v>263</v>
      </c>
      <c r="G14" s="67" t="s">
        <v>188</v>
      </c>
      <c r="H14" s="67" t="s">
        <v>403</v>
      </c>
      <c r="I14" s="69">
        <v>5.8967672999999998E-2</v>
      </c>
      <c r="J14" s="70">
        <v>88.318696496570112</v>
      </c>
    </row>
    <row r="15" spans="1:10" s="71" customFormat="1">
      <c r="A15" s="65" t="s">
        <v>437</v>
      </c>
      <c r="B15" s="66" t="s">
        <v>192</v>
      </c>
      <c r="C15" s="72" t="s">
        <v>275</v>
      </c>
      <c r="D15" s="67" t="s">
        <v>28</v>
      </c>
      <c r="E15" s="68" t="s">
        <v>200</v>
      </c>
      <c r="F15" s="67" t="s">
        <v>274</v>
      </c>
      <c r="G15" s="67" t="s">
        <v>272</v>
      </c>
      <c r="H15" s="67"/>
      <c r="I15" s="69">
        <v>8.7977629000000002E-2</v>
      </c>
      <c r="J15" s="70">
        <v>88.23941135717611</v>
      </c>
    </row>
    <row r="16" spans="1:10" s="71" customFormat="1">
      <c r="A16" s="65" t="s">
        <v>437</v>
      </c>
      <c r="B16" s="66" t="s">
        <v>170</v>
      </c>
      <c r="C16" s="67" t="s">
        <v>277</v>
      </c>
      <c r="D16" s="67" t="s">
        <v>28</v>
      </c>
      <c r="E16" s="68" t="s">
        <v>200</v>
      </c>
      <c r="F16" s="67" t="s">
        <v>278</v>
      </c>
      <c r="G16" s="67" t="s">
        <v>276</v>
      </c>
      <c r="H16" s="67" t="s">
        <v>279</v>
      </c>
      <c r="I16" s="69">
        <v>2.3422274999999999E-2</v>
      </c>
      <c r="J16" s="70">
        <v>23.447429895265422</v>
      </c>
    </row>
    <row r="17" spans="1:13" s="71" customFormat="1">
      <c r="A17" s="89" t="s">
        <v>437</v>
      </c>
      <c r="B17" s="84" t="s">
        <v>111</v>
      </c>
      <c r="C17" s="83" t="s">
        <v>269</v>
      </c>
      <c r="D17" s="83" t="s">
        <v>271</v>
      </c>
      <c r="E17" s="85" t="s">
        <v>266</v>
      </c>
      <c r="F17" s="83" t="s">
        <v>267</v>
      </c>
      <c r="G17" s="83" t="s">
        <v>268</v>
      </c>
      <c r="H17" s="83" t="s">
        <v>601</v>
      </c>
      <c r="I17" s="69">
        <v>8.6937461999999997E-3</v>
      </c>
      <c r="J17" s="70">
        <v>8.8954881776451415</v>
      </c>
    </row>
    <row r="18" spans="1:13" s="71" customFormat="1">
      <c r="A18" s="65" t="s">
        <v>437</v>
      </c>
      <c r="B18" s="66" t="s">
        <v>171</v>
      </c>
      <c r="C18" s="67" t="s">
        <v>84</v>
      </c>
      <c r="D18" s="67" t="s">
        <v>28</v>
      </c>
      <c r="E18" s="68" t="s">
        <v>199</v>
      </c>
      <c r="F18" s="67" t="s">
        <v>270</v>
      </c>
      <c r="G18" s="67" t="s">
        <v>273</v>
      </c>
      <c r="H18" s="67" t="s">
        <v>602</v>
      </c>
      <c r="I18" s="69">
        <v>1.2074647999999999E-3</v>
      </c>
      <c r="J18" s="70">
        <v>1.2354844729472301</v>
      </c>
    </row>
    <row r="19" spans="1:13" s="71" customFormat="1">
      <c r="A19" s="65" t="s">
        <v>1</v>
      </c>
      <c r="B19" s="66" t="s">
        <v>3</v>
      </c>
      <c r="C19" s="67" t="s">
        <v>87</v>
      </c>
      <c r="D19" s="67" t="s">
        <v>30</v>
      </c>
      <c r="E19" s="68" t="s">
        <v>199</v>
      </c>
      <c r="F19" s="67" t="s">
        <v>454</v>
      </c>
      <c r="G19" s="67" t="s">
        <v>109</v>
      </c>
      <c r="H19" s="67"/>
      <c r="I19" s="69">
        <v>0.12650078000000001</v>
      </c>
      <c r="J19" s="70">
        <v>395.68398394124301</v>
      </c>
    </row>
    <row r="20" spans="1:13" s="71" customFormat="1">
      <c r="A20" s="65" t="s">
        <v>1</v>
      </c>
      <c r="B20" s="66" t="s">
        <v>59</v>
      </c>
      <c r="C20" s="67" t="s">
        <v>86</v>
      </c>
      <c r="D20" s="67" t="s">
        <v>27</v>
      </c>
      <c r="E20" s="68" t="s">
        <v>200</v>
      </c>
      <c r="F20" s="67" t="s">
        <v>39</v>
      </c>
      <c r="G20" s="67" t="s">
        <v>109</v>
      </c>
      <c r="H20" s="67"/>
      <c r="I20" s="69">
        <v>0.25401742999999999</v>
      </c>
      <c r="J20" s="70">
        <v>980.50611467598947</v>
      </c>
    </row>
    <row r="21" spans="1:13" s="71" customFormat="1">
      <c r="A21" s="65" t="s">
        <v>1</v>
      </c>
      <c r="B21" s="66" t="s">
        <v>25</v>
      </c>
      <c r="C21" s="67" t="s">
        <v>88</v>
      </c>
      <c r="D21" s="67" t="s">
        <v>27</v>
      </c>
      <c r="E21" s="68" t="s">
        <v>216</v>
      </c>
      <c r="F21" s="67" t="s">
        <v>373</v>
      </c>
      <c r="G21" s="67" t="s">
        <v>110</v>
      </c>
      <c r="H21" s="67" t="s">
        <v>363</v>
      </c>
      <c r="I21" s="69">
        <v>11.481553</v>
      </c>
      <c r="J21" s="70">
        <v>22788.237501757012</v>
      </c>
    </row>
    <row r="22" spans="1:13" s="71" customFormat="1">
      <c r="A22" s="65" t="s">
        <v>1</v>
      </c>
      <c r="B22" s="66" t="s">
        <v>24</v>
      </c>
      <c r="C22" s="67" t="s">
        <v>372</v>
      </c>
      <c r="D22" s="67" t="s">
        <v>370</v>
      </c>
      <c r="E22" s="68" t="s">
        <v>371</v>
      </c>
      <c r="F22" s="67" t="s">
        <v>374</v>
      </c>
      <c r="G22" s="67" t="s">
        <v>110</v>
      </c>
      <c r="H22" s="67" t="s">
        <v>364</v>
      </c>
      <c r="I22" s="69">
        <v>32.207816999999999</v>
      </c>
      <c r="J22" s="70">
        <v>65316.81096258825</v>
      </c>
    </row>
    <row r="23" spans="1:13" s="71" customFormat="1">
      <c r="A23" s="65" t="s">
        <v>1</v>
      </c>
      <c r="B23" s="66" t="s">
        <v>23</v>
      </c>
      <c r="C23" s="67" t="s">
        <v>369</v>
      </c>
      <c r="D23" s="67" t="s">
        <v>370</v>
      </c>
      <c r="E23" s="68" t="s">
        <v>371</v>
      </c>
      <c r="F23" s="67" t="s">
        <v>375</v>
      </c>
      <c r="G23" s="67" t="s">
        <v>110</v>
      </c>
      <c r="H23" s="67" t="s">
        <v>365</v>
      </c>
      <c r="I23" s="69">
        <v>10.735939</v>
      </c>
      <c r="J23" s="70">
        <v>21772.270294396087</v>
      </c>
    </row>
    <row r="24" spans="1:13" s="71" customFormat="1">
      <c r="A24" s="65" t="s">
        <v>1</v>
      </c>
      <c r="B24" s="66" t="s">
        <v>18</v>
      </c>
      <c r="C24" s="67" t="s">
        <v>40</v>
      </c>
      <c r="D24" s="67" t="s">
        <v>30</v>
      </c>
      <c r="E24" s="68" t="s">
        <v>201</v>
      </c>
      <c r="F24" s="67" t="s">
        <v>29</v>
      </c>
      <c r="G24" s="67" t="s">
        <v>109</v>
      </c>
      <c r="H24" s="67"/>
      <c r="I24" s="69">
        <v>6.4807813000000006E-2</v>
      </c>
      <c r="J24" s="70">
        <v>67.467957083767303</v>
      </c>
    </row>
    <row r="25" spans="1:13" s="71" customFormat="1">
      <c r="A25" s="65" t="s">
        <v>1</v>
      </c>
      <c r="B25" s="66" t="s">
        <v>85</v>
      </c>
      <c r="C25" s="67" t="s">
        <v>254</v>
      </c>
      <c r="D25" s="67" t="s">
        <v>27</v>
      </c>
      <c r="E25" s="68" t="s">
        <v>200</v>
      </c>
      <c r="F25" s="67" t="s">
        <v>39</v>
      </c>
      <c r="G25" s="67" t="s">
        <v>109</v>
      </c>
      <c r="H25" s="67"/>
      <c r="I25" s="69">
        <v>14.265369</v>
      </c>
      <c r="J25" s="70">
        <v>27193.917519690509</v>
      </c>
    </row>
    <row r="26" spans="1:13" s="71" customFormat="1">
      <c r="A26" s="65" t="s">
        <v>38</v>
      </c>
      <c r="B26" s="66" t="s">
        <v>247</v>
      </c>
      <c r="C26" s="67" t="s">
        <v>212</v>
      </c>
      <c r="D26" s="67" t="s">
        <v>215</v>
      </c>
      <c r="E26" s="68" t="s">
        <v>217</v>
      </c>
      <c r="F26" s="67" t="s">
        <v>455</v>
      </c>
      <c r="G26" s="67" t="s">
        <v>218</v>
      </c>
      <c r="H26" s="67" t="s">
        <v>185</v>
      </c>
      <c r="I26" s="69">
        <v>5.5192583000000003E-2</v>
      </c>
      <c r="J26" s="70">
        <v>74.138500861070739</v>
      </c>
    </row>
    <row r="27" spans="1:13" s="86" customFormat="1">
      <c r="A27" s="65" t="s">
        <v>38</v>
      </c>
      <c r="B27" s="66" t="s">
        <v>248</v>
      </c>
      <c r="C27" s="67" t="s">
        <v>233</v>
      </c>
      <c r="D27" s="67" t="s">
        <v>231</v>
      </c>
      <c r="E27" s="68" t="s">
        <v>232</v>
      </c>
      <c r="F27" s="67" t="s">
        <v>230</v>
      </c>
      <c r="G27" s="67" t="s">
        <v>229</v>
      </c>
      <c r="H27" s="67"/>
      <c r="I27" s="69">
        <v>3.5199714999999999E-2</v>
      </c>
      <c r="J27" s="70">
        <v>50.763252037322673</v>
      </c>
      <c r="L27" s="71"/>
      <c r="M27" s="71"/>
    </row>
    <row r="28" spans="1:13" s="86" customFormat="1">
      <c r="A28" s="65" t="s">
        <v>38</v>
      </c>
      <c r="B28" s="66" t="s">
        <v>113</v>
      </c>
      <c r="C28" s="67" t="s">
        <v>225</v>
      </c>
      <c r="D28" s="67" t="s">
        <v>27</v>
      </c>
      <c r="E28" s="68" t="s">
        <v>222</v>
      </c>
      <c r="F28" s="67" t="s">
        <v>223</v>
      </c>
      <c r="G28" s="67" t="s">
        <v>221</v>
      </c>
      <c r="H28" s="67" t="s">
        <v>224</v>
      </c>
      <c r="I28" s="69">
        <v>0.10280913999999999</v>
      </c>
      <c r="J28" s="70">
        <v>139.6695278322868</v>
      </c>
      <c r="L28" s="71"/>
      <c r="M28" s="71"/>
    </row>
    <row r="29" spans="1:13" s="86" customFormat="1">
      <c r="A29" s="65" t="s">
        <v>38</v>
      </c>
      <c r="B29" s="66" t="s">
        <v>220</v>
      </c>
      <c r="C29" s="67" t="s">
        <v>213</v>
      </c>
      <c r="D29" s="67" t="s">
        <v>28</v>
      </c>
      <c r="E29" s="68" t="s">
        <v>216</v>
      </c>
      <c r="F29" s="67" t="s">
        <v>214</v>
      </c>
      <c r="G29" s="67" t="s">
        <v>219</v>
      </c>
      <c r="H29" s="67" t="s">
        <v>234</v>
      </c>
      <c r="I29" s="69">
        <v>5.3150000000000003E-3</v>
      </c>
      <c r="J29" s="70">
        <v>7.8342110738352027</v>
      </c>
      <c r="L29" s="71"/>
      <c r="M29" s="71"/>
    </row>
    <row r="30" spans="1:13" s="71" customFormat="1">
      <c r="A30" s="65" t="s">
        <v>38</v>
      </c>
      <c r="B30" s="66" t="s">
        <v>195</v>
      </c>
      <c r="C30" s="67" t="s">
        <v>239</v>
      </c>
      <c r="D30" s="67" t="s">
        <v>240</v>
      </c>
      <c r="E30" s="68" t="s">
        <v>307</v>
      </c>
      <c r="F30" s="67" t="s">
        <v>241</v>
      </c>
      <c r="G30" s="67" t="s">
        <v>198</v>
      </c>
      <c r="H30" s="67" t="s">
        <v>196</v>
      </c>
      <c r="I30" s="69">
        <v>0.15890000000000001</v>
      </c>
      <c r="J30" s="70">
        <v>298.38669374595929</v>
      </c>
    </row>
    <row r="31" spans="1:13" s="71" customFormat="1">
      <c r="A31" s="65" t="s">
        <v>38</v>
      </c>
      <c r="B31" s="66" t="s">
        <v>19</v>
      </c>
      <c r="C31" s="67" t="s">
        <v>152</v>
      </c>
      <c r="D31" s="67" t="s">
        <v>238</v>
      </c>
      <c r="E31" s="68" t="s">
        <v>236</v>
      </c>
      <c r="F31" s="67" t="s">
        <v>237</v>
      </c>
      <c r="G31" s="67" t="s">
        <v>243</v>
      </c>
      <c r="H31" s="67" t="s">
        <v>235</v>
      </c>
      <c r="I31" s="69">
        <v>0.51648035999999997</v>
      </c>
      <c r="J31" s="70">
        <v>862.12903767869295</v>
      </c>
    </row>
    <row r="32" spans="1:13" s="71" customFormat="1">
      <c r="A32" s="65" t="s">
        <v>38</v>
      </c>
      <c r="B32" s="66" t="s">
        <v>253</v>
      </c>
      <c r="C32" s="67" t="s">
        <v>249</v>
      </c>
      <c r="D32" s="67" t="s">
        <v>242</v>
      </c>
      <c r="E32" s="68" t="s">
        <v>308</v>
      </c>
      <c r="F32" s="67" t="s">
        <v>32</v>
      </c>
      <c r="G32" s="67" t="s">
        <v>243</v>
      </c>
      <c r="H32" s="67" t="s">
        <v>197</v>
      </c>
      <c r="I32" s="69">
        <v>2.8064467</v>
      </c>
      <c r="J32" s="70">
        <v>2254.4955109512716</v>
      </c>
    </row>
    <row r="33" spans="1:10" s="71" customFormat="1">
      <c r="A33" s="65" t="s">
        <v>438</v>
      </c>
      <c r="B33" s="66" t="s">
        <v>138</v>
      </c>
      <c r="C33" s="67" t="s">
        <v>352</v>
      </c>
      <c r="D33" s="67" t="s">
        <v>28</v>
      </c>
      <c r="E33" s="68" t="s">
        <v>216</v>
      </c>
      <c r="F33" s="67" t="s">
        <v>353</v>
      </c>
      <c r="G33" s="67" t="s">
        <v>354</v>
      </c>
      <c r="H33" s="67" t="s">
        <v>448</v>
      </c>
      <c r="I33" s="69">
        <v>2.2048029E-2</v>
      </c>
      <c r="J33" s="70">
        <v>24.68810649890937</v>
      </c>
    </row>
    <row r="34" spans="1:10" s="71" customFormat="1">
      <c r="A34" s="65" t="s">
        <v>438</v>
      </c>
      <c r="B34" s="84" t="s">
        <v>53</v>
      </c>
      <c r="C34" s="83" t="s">
        <v>133</v>
      </c>
      <c r="D34" s="67" t="s">
        <v>28</v>
      </c>
      <c r="E34" s="68" t="s">
        <v>200</v>
      </c>
      <c r="F34" s="67" t="s">
        <v>407</v>
      </c>
      <c r="G34" s="67" t="s">
        <v>135</v>
      </c>
      <c r="H34" s="67" t="s">
        <v>406</v>
      </c>
      <c r="I34" s="69">
        <v>9.9516740000000006E-3</v>
      </c>
      <c r="J34" s="70">
        <v>8.4566888560873181</v>
      </c>
    </row>
    <row r="35" spans="1:10" s="71" customFormat="1">
      <c r="A35" s="65" t="s">
        <v>438</v>
      </c>
      <c r="B35" s="84" t="s">
        <v>50</v>
      </c>
      <c r="C35" s="83" t="s">
        <v>359</v>
      </c>
      <c r="D35" s="67" t="s">
        <v>28</v>
      </c>
      <c r="E35" s="68" t="s">
        <v>216</v>
      </c>
      <c r="F35" s="67" t="s">
        <v>136</v>
      </c>
      <c r="G35" s="67" t="s">
        <v>355</v>
      </c>
      <c r="H35" s="67" t="s">
        <v>356</v>
      </c>
      <c r="I35" s="69">
        <v>3.1121656000000001E-2</v>
      </c>
      <c r="J35" s="70">
        <v>46.352653807595956</v>
      </c>
    </row>
    <row r="36" spans="1:10" s="71" customFormat="1">
      <c r="A36" s="65" t="s">
        <v>438</v>
      </c>
      <c r="B36" s="84" t="s">
        <v>52</v>
      </c>
      <c r="C36" s="83" t="s">
        <v>357</v>
      </c>
      <c r="D36" s="67" t="s">
        <v>28</v>
      </c>
      <c r="E36" s="68" t="s">
        <v>216</v>
      </c>
      <c r="F36" s="67" t="s">
        <v>136</v>
      </c>
      <c r="G36" s="67" t="s">
        <v>355</v>
      </c>
      <c r="H36" s="67" t="s">
        <v>358</v>
      </c>
      <c r="I36" s="69">
        <v>3.9125422999999999E-2</v>
      </c>
      <c r="J36" s="70">
        <v>55.413236272241924</v>
      </c>
    </row>
    <row r="37" spans="1:10" s="71" customFormat="1">
      <c r="A37" s="65" t="s">
        <v>438</v>
      </c>
      <c r="B37" s="66" t="s">
        <v>333</v>
      </c>
      <c r="C37" s="67" t="s">
        <v>289</v>
      </c>
      <c r="D37" s="67" t="s">
        <v>286</v>
      </c>
      <c r="E37" s="68" t="s">
        <v>216</v>
      </c>
      <c r="F37" s="67" t="s">
        <v>287</v>
      </c>
      <c r="G37" s="67" t="s">
        <v>288</v>
      </c>
      <c r="H37" s="67"/>
      <c r="I37" s="69">
        <v>9.4660153999999996E-2</v>
      </c>
      <c r="J37" s="70">
        <v>120.90993868895241</v>
      </c>
    </row>
    <row r="38" spans="1:10" s="71" customFormat="1">
      <c r="A38" s="65" t="s">
        <v>438</v>
      </c>
      <c r="B38" s="66" t="s">
        <v>332</v>
      </c>
      <c r="C38" s="67" t="s">
        <v>339</v>
      </c>
      <c r="D38" s="67" t="s">
        <v>290</v>
      </c>
      <c r="E38" s="68" t="s">
        <v>200</v>
      </c>
      <c r="F38" s="67" t="s">
        <v>143</v>
      </c>
      <c r="G38" s="67" t="s">
        <v>291</v>
      </c>
      <c r="H38" s="67"/>
      <c r="I38" s="69">
        <v>7.0093205000000006E-2</v>
      </c>
      <c r="J38" s="70">
        <v>72.124661835116797</v>
      </c>
    </row>
    <row r="39" spans="1:10" s="71" customFormat="1">
      <c r="A39" s="65" t="s">
        <v>438</v>
      </c>
      <c r="B39" s="66" t="s">
        <v>334</v>
      </c>
      <c r="C39" s="67" t="s">
        <v>292</v>
      </c>
      <c r="D39" s="67" t="s">
        <v>286</v>
      </c>
      <c r="E39" s="68" t="s">
        <v>216</v>
      </c>
      <c r="F39" s="67" t="s">
        <v>287</v>
      </c>
      <c r="G39" s="67" t="s">
        <v>288</v>
      </c>
      <c r="H39" s="67"/>
      <c r="I39" s="69">
        <v>0.10281868</v>
      </c>
      <c r="J39" s="70">
        <v>129.8336285903012</v>
      </c>
    </row>
    <row r="40" spans="1:10" s="71" customFormat="1">
      <c r="A40" s="65" t="s">
        <v>438</v>
      </c>
      <c r="B40" s="66" t="s">
        <v>305</v>
      </c>
      <c r="C40" s="67" t="s">
        <v>302</v>
      </c>
      <c r="D40" s="67" t="s">
        <v>28</v>
      </c>
      <c r="E40" s="68" t="s">
        <v>216</v>
      </c>
      <c r="F40" s="67" t="s">
        <v>295</v>
      </c>
      <c r="G40" s="67" t="s">
        <v>110</v>
      </c>
      <c r="H40" s="67" t="s">
        <v>317</v>
      </c>
      <c r="I40" s="69">
        <v>0.24483116999999999</v>
      </c>
      <c r="J40" s="70">
        <v>273.02443577691753</v>
      </c>
    </row>
    <row r="41" spans="1:10" s="71" customFormat="1">
      <c r="A41" s="65" t="s">
        <v>438</v>
      </c>
      <c r="B41" s="66" t="s">
        <v>306</v>
      </c>
      <c r="C41" s="67" t="s">
        <v>301</v>
      </c>
      <c r="D41" s="67" t="s">
        <v>28</v>
      </c>
      <c r="E41" s="68" t="s">
        <v>216</v>
      </c>
      <c r="F41" s="67" t="s">
        <v>296</v>
      </c>
      <c r="G41" s="67" t="s">
        <v>110</v>
      </c>
      <c r="H41" s="67" t="s">
        <v>316</v>
      </c>
      <c r="I41" s="69">
        <v>0.11344694</v>
      </c>
      <c r="J41" s="70">
        <v>119.41271157440602</v>
      </c>
    </row>
    <row r="42" spans="1:10" s="71" customFormat="1">
      <c r="A42" s="65" t="s">
        <v>438</v>
      </c>
      <c r="B42" s="66" t="s">
        <v>303</v>
      </c>
      <c r="C42" s="67" t="s">
        <v>297</v>
      </c>
      <c r="D42" s="67" t="s">
        <v>28</v>
      </c>
      <c r="E42" s="68" t="s">
        <v>310</v>
      </c>
      <c r="F42" s="67" t="s">
        <v>295</v>
      </c>
      <c r="G42" s="67" t="s">
        <v>110</v>
      </c>
      <c r="H42" s="67" t="s">
        <v>300</v>
      </c>
      <c r="I42" s="69">
        <v>0.20564112000000001</v>
      </c>
      <c r="J42" s="70">
        <v>250.05149659710594</v>
      </c>
    </row>
    <row r="43" spans="1:10" s="71" customFormat="1">
      <c r="A43" s="65" t="s">
        <v>438</v>
      </c>
      <c r="B43" s="66" t="s">
        <v>304</v>
      </c>
      <c r="C43" s="67" t="s">
        <v>294</v>
      </c>
      <c r="D43" s="67" t="s">
        <v>28</v>
      </c>
      <c r="E43" s="68" t="s">
        <v>311</v>
      </c>
      <c r="F43" s="67" t="s">
        <v>296</v>
      </c>
      <c r="G43" s="67" t="s">
        <v>110</v>
      </c>
      <c r="H43" s="67" t="s">
        <v>300</v>
      </c>
      <c r="I43" s="69">
        <v>7.4256890000000006E-2</v>
      </c>
      <c r="J43" s="70">
        <v>96.439776944594371</v>
      </c>
    </row>
    <row r="44" spans="1:10" s="71" customFormat="1">
      <c r="A44" s="65" t="s">
        <v>438</v>
      </c>
      <c r="B44" s="66" t="s">
        <v>335</v>
      </c>
      <c r="C44" s="67" t="s">
        <v>337</v>
      </c>
      <c r="D44" s="67" t="s">
        <v>28</v>
      </c>
      <c r="E44" s="68" t="s">
        <v>312</v>
      </c>
      <c r="F44" s="67" t="s">
        <v>298</v>
      </c>
      <c r="G44" s="67" t="s">
        <v>110</v>
      </c>
      <c r="H44" s="67" t="s">
        <v>299</v>
      </c>
      <c r="I44" s="69">
        <v>4.5695101000000002E-2</v>
      </c>
      <c r="J44" s="70">
        <v>63.045924441907516</v>
      </c>
    </row>
    <row r="45" spans="1:10" s="71" customFormat="1">
      <c r="A45" s="65" t="s">
        <v>438</v>
      </c>
      <c r="B45" s="66" t="s">
        <v>336</v>
      </c>
      <c r="C45" s="67" t="s">
        <v>338</v>
      </c>
      <c r="D45" s="67" t="s">
        <v>28</v>
      </c>
      <c r="E45" s="68" t="s">
        <v>200</v>
      </c>
      <c r="F45" s="67" t="s">
        <v>331</v>
      </c>
      <c r="G45" s="67" t="s">
        <v>329</v>
      </c>
      <c r="H45" s="67" t="s">
        <v>330</v>
      </c>
      <c r="I45" s="69">
        <v>3.0845792E-2</v>
      </c>
      <c r="J45" s="70">
        <v>33.512047632653974</v>
      </c>
    </row>
    <row r="46" spans="1:10" s="71" customFormat="1">
      <c r="A46" s="65" t="s">
        <v>456</v>
      </c>
      <c r="B46" s="66" t="s">
        <v>34</v>
      </c>
      <c r="C46" s="67" t="s">
        <v>41</v>
      </c>
      <c r="D46" s="67" t="s">
        <v>30</v>
      </c>
      <c r="E46" s="68" t="s">
        <v>199</v>
      </c>
      <c r="F46" s="67" t="s">
        <v>29</v>
      </c>
      <c r="G46" s="83" t="s">
        <v>109</v>
      </c>
      <c r="H46" s="83"/>
      <c r="I46" s="69">
        <v>4285.6630999999998</v>
      </c>
      <c r="J46" s="70">
        <v>2506405.3195711151</v>
      </c>
    </row>
    <row r="47" spans="1:10" s="71" customFormat="1">
      <c r="A47" s="65" t="s">
        <v>456</v>
      </c>
      <c r="B47" s="66" t="s">
        <v>31</v>
      </c>
      <c r="C47" s="67" t="s">
        <v>42</v>
      </c>
      <c r="D47" s="67" t="s">
        <v>30</v>
      </c>
      <c r="E47" s="68" t="s">
        <v>199</v>
      </c>
      <c r="F47" s="67" t="s">
        <v>29</v>
      </c>
      <c r="G47" s="83" t="s">
        <v>109</v>
      </c>
      <c r="H47" s="83"/>
      <c r="I47" s="69">
        <v>775.54660000000001</v>
      </c>
      <c r="J47" s="70">
        <v>507526.39109325997</v>
      </c>
    </row>
    <row r="48" spans="1:10" s="71" customFormat="1">
      <c r="A48" s="89" t="s">
        <v>456</v>
      </c>
      <c r="B48" s="84" t="s">
        <v>44</v>
      </c>
      <c r="C48" s="83" t="s">
        <v>164</v>
      </c>
      <c r="D48" s="83" t="s">
        <v>30</v>
      </c>
      <c r="E48" s="68" t="s">
        <v>199</v>
      </c>
      <c r="F48" s="83" t="s">
        <v>29</v>
      </c>
      <c r="G48" s="83" t="s">
        <v>109</v>
      </c>
      <c r="H48" s="83"/>
      <c r="I48" s="69">
        <v>0.32056327000000001</v>
      </c>
      <c r="J48" s="70">
        <v>377.3963270941411</v>
      </c>
    </row>
    <row r="49" spans="1:10" s="71" customFormat="1" ht="15" thickBot="1">
      <c r="A49" s="73" t="s">
        <v>456</v>
      </c>
      <c r="B49" s="74" t="s">
        <v>2</v>
      </c>
      <c r="C49" s="75" t="s">
        <v>165</v>
      </c>
      <c r="D49" s="75" t="s">
        <v>30</v>
      </c>
      <c r="E49" s="76" t="s">
        <v>201</v>
      </c>
      <c r="F49" s="75" t="s">
        <v>29</v>
      </c>
      <c r="G49" s="90" t="s">
        <v>109</v>
      </c>
      <c r="H49" s="90"/>
      <c r="I49" s="77">
        <v>679.59412999999995</v>
      </c>
      <c r="J49" s="78">
        <v>800080.21498625923</v>
      </c>
    </row>
  </sheetData>
  <sortState ref="A3:J49">
    <sortCondition ref="A3:A49"/>
    <sortCondition ref="B3:B49"/>
  </sortState>
  <conditionalFormatting sqref="I2:J2">
    <cfRule type="dataBar" priority="51">
      <dataBar>
        <cfvo type="min"/>
        <cfvo type="max"/>
        <color rgb="FF638EC6"/>
      </dataBar>
      <extLst>
        <ext xmlns:x14="http://schemas.microsoft.com/office/spreadsheetml/2009/9/main" uri="{B025F937-C7B1-47D3-B67F-A62EFF666E3E}">
          <x14:id>{B3DA42AB-4F17-BF40-AC8F-7865C48B423B}</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3DA42AB-4F17-BF40-AC8F-7865C48B423B}">
            <x14:dataBar minLength="0" maxLength="100" border="1" negativeBarBorderColorSameAsPositive="0">
              <x14:cfvo type="autoMin"/>
              <x14:cfvo type="autoMax"/>
              <x14:borderColor rgb="FF638EC6"/>
              <x14:negativeFillColor rgb="FFFF0000"/>
              <x14:negativeBorderColor rgb="FFFF0000"/>
              <x14:axisColor rgb="FF000000"/>
            </x14:dataBar>
          </x14:cfRule>
          <xm:sqref>I2:J2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90" zoomScaleNormal="90" workbookViewId="0">
      <pane xSplit="2" ySplit="2" topLeftCell="C3" activePane="bottomRight" state="frozen"/>
      <selection pane="topRight" activeCell="G1" sqref="G1"/>
      <selection pane="bottomLeft" activeCell="A3" sqref="A3"/>
      <selection pane="bottomRight" activeCell="A3" sqref="A3"/>
    </sheetView>
  </sheetViews>
  <sheetFormatPr baseColWidth="10" defaultColWidth="10.6328125" defaultRowHeight="14.5"/>
  <cols>
    <col min="1" max="1" width="16.1796875" style="51" customWidth="1"/>
    <col min="2" max="2" width="32.453125" style="79" customWidth="1"/>
    <col min="3" max="3" width="107.1796875" style="51" customWidth="1"/>
    <col min="4" max="5" width="10.6328125" style="51" customWidth="1"/>
    <col min="6" max="6" width="20" style="51" customWidth="1"/>
    <col min="7" max="8" width="18.36328125" style="51" customWidth="1"/>
    <col min="9" max="9" width="16.1796875" style="51" customWidth="1"/>
    <col min="10" max="10" width="14.36328125" style="51" bestFit="1" customWidth="1"/>
    <col min="11" max="11" width="10.6328125" style="51"/>
    <col min="12" max="12" width="35.453125" style="51" customWidth="1"/>
    <col min="13" max="16384" width="10.6328125" style="51"/>
  </cols>
  <sheetData>
    <row r="1" spans="1:10" ht="23.5">
      <c r="A1" s="56" t="s">
        <v>592</v>
      </c>
      <c r="B1" s="57"/>
      <c r="C1" s="58"/>
      <c r="D1" s="58"/>
      <c r="E1" s="58"/>
      <c r="F1" s="58"/>
      <c r="G1" s="58"/>
      <c r="H1" s="58"/>
      <c r="I1" s="58"/>
      <c r="J1" s="59"/>
    </row>
    <row r="2" spans="1:10" s="64" customFormat="1">
      <c r="A2" s="60" t="s">
        <v>0</v>
      </c>
      <c r="B2" s="61" t="s">
        <v>147</v>
      </c>
      <c r="C2" s="61" t="s">
        <v>37</v>
      </c>
      <c r="D2" s="49" t="s">
        <v>26</v>
      </c>
      <c r="E2" s="49" t="s">
        <v>202</v>
      </c>
      <c r="F2" s="49" t="s">
        <v>258</v>
      </c>
      <c r="G2" s="49" t="s">
        <v>108</v>
      </c>
      <c r="H2" s="49" t="s">
        <v>129</v>
      </c>
      <c r="I2" s="62" t="s">
        <v>60</v>
      </c>
      <c r="J2" s="63" t="s">
        <v>611</v>
      </c>
    </row>
    <row r="3" spans="1:10" s="71" customFormat="1">
      <c r="A3" s="65" t="s">
        <v>437</v>
      </c>
      <c r="B3" s="66" t="s">
        <v>389</v>
      </c>
      <c r="C3" s="67" t="s">
        <v>125</v>
      </c>
      <c r="D3" s="67" t="s">
        <v>28</v>
      </c>
      <c r="E3" s="68" t="s">
        <v>200</v>
      </c>
      <c r="F3" s="67" t="s">
        <v>391</v>
      </c>
      <c r="G3" s="67" t="s">
        <v>393</v>
      </c>
      <c r="H3" s="67" t="s">
        <v>392</v>
      </c>
      <c r="I3" s="69">
        <v>1.3372922000000001E-2</v>
      </c>
      <c r="J3" s="70">
        <v>13.465215331960669</v>
      </c>
    </row>
    <row r="4" spans="1:10" s="71" customFormat="1">
      <c r="A4" s="65" t="s">
        <v>437</v>
      </c>
      <c r="B4" s="66" t="s">
        <v>387</v>
      </c>
      <c r="C4" s="67" t="s">
        <v>127</v>
      </c>
      <c r="D4" s="67" t="s">
        <v>28</v>
      </c>
      <c r="E4" s="68" t="s">
        <v>200</v>
      </c>
      <c r="F4" s="67" t="s">
        <v>128</v>
      </c>
      <c r="G4" s="67" t="s">
        <v>393</v>
      </c>
      <c r="H4" s="67" t="s">
        <v>392</v>
      </c>
      <c r="I4" s="69">
        <v>9.2205654000000001E-3</v>
      </c>
      <c r="J4" s="70">
        <v>11.977133861136949</v>
      </c>
    </row>
    <row r="5" spans="1:10" s="71" customFormat="1">
      <c r="A5" s="65" t="s">
        <v>437</v>
      </c>
      <c r="B5" s="66" t="s">
        <v>388</v>
      </c>
      <c r="C5" s="67" t="s">
        <v>390</v>
      </c>
      <c r="D5" s="67" t="s">
        <v>28</v>
      </c>
      <c r="E5" s="68" t="s">
        <v>216</v>
      </c>
      <c r="F5" s="67" t="s">
        <v>51</v>
      </c>
      <c r="G5" s="67" t="s">
        <v>394</v>
      </c>
      <c r="H5" s="67" t="s">
        <v>395</v>
      </c>
      <c r="I5" s="69">
        <v>1.1167678E-2</v>
      </c>
      <c r="J5" s="70">
        <v>13.93633574224204</v>
      </c>
    </row>
    <row r="6" spans="1:10" s="71" customFormat="1">
      <c r="A6" s="65" t="s">
        <v>437</v>
      </c>
      <c r="B6" s="66" t="s">
        <v>399</v>
      </c>
      <c r="C6" s="67" t="s">
        <v>400</v>
      </c>
      <c r="D6" s="67" t="s">
        <v>28</v>
      </c>
      <c r="E6" s="68" t="s">
        <v>200</v>
      </c>
      <c r="F6" s="67" t="s">
        <v>155</v>
      </c>
      <c r="G6" s="67" t="s">
        <v>402</v>
      </c>
      <c r="H6" s="67" t="s">
        <v>401</v>
      </c>
      <c r="I6" s="69">
        <v>2.3910058E-4</v>
      </c>
      <c r="J6" s="70">
        <v>0.33099667958134404</v>
      </c>
    </row>
    <row r="7" spans="1:10" s="71" customFormat="1">
      <c r="A7" s="65" t="s">
        <v>437</v>
      </c>
      <c r="B7" s="66" t="s">
        <v>447</v>
      </c>
      <c r="C7" s="67" t="s">
        <v>250</v>
      </c>
      <c r="D7" s="67" t="s">
        <v>28</v>
      </c>
      <c r="E7" s="68" t="s">
        <v>200</v>
      </c>
      <c r="F7" s="67" t="s">
        <v>155</v>
      </c>
      <c r="G7" s="67" t="s">
        <v>396</v>
      </c>
      <c r="H7" s="67" t="s">
        <v>397</v>
      </c>
      <c r="I7" s="69">
        <v>1.2499263E-2</v>
      </c>
      <c r="J7" s="70">
        <v>15.2718451462299</v>
      </c>
    </row>
    <row r="8" spans="1:10" s="71" customFormat="1">
      <c r="A8" s="65" t="s">
        <v>437</v>
      </c>
      <c r="B8" s="66" t="s">
        <v>167</v>
      </c>
      <c r="C8" s="72" t="s">
        <v>281</v>
      </c>
      <c r="D8" s="67" t="s">
        <v>28</v>
      </c>
      <c r="E8" s="68" t="s">
        <v>309</v>
      </c>
      <c r="F8" s="67" t="s">
        <v>194</v>
      </c>
      <c r="G8" s="67" t="s">
        <v>273</v>
      </c>
      <c r="H8" s="67" t="s">
        <v>191</v>
      </c>
      <c r="I8" s="69">
        <v>0.29274176000000002</v>
      </c>
      <c r="J8" s="70">
        <v>292.97211279539545</v>
      </c>
    </row>
    <row r="9" spans="1:10" s="71" customFormat="1">
      <c r="A9" s="65" t="s">
        <v>437</v>
      </c>
      <c r="B9" s="66" t="s">
        <v>168</v>
      </c>
      <c r="C9" s="72" t="s">
        <v>282</v>
      </c>
      <c r="D9" s="67" t="s">
        <v>28</v>
      </c>
      <c r="E9" s="68" t="s">
        <v>309</v>
      </c>
      <c r="F9" s="67" t="s">
        <v>83</v>
      </c>
      <c r="G9" s="67" t="s">
        <v>273</v>
      </c>
      <c r="H9" s="67" t="s">
        <v>190</v>
      </c>
      <c r="I9" s="69">
        <v>2.9473590000000001E-2</v>
      </c>
      <c r="J9" s="70">
        <v>29.744354649810532</v>
      </c>
    </row>
    <row r="10" spans="1:10" s="71" customFormat="1">
      <c r="A10" s="65" t="s">
        <v>437</v>
      </c>
      <c r="B10" s="66" t="s">
        <v>169</v>
      </c>
      <c r="C10" s="67" t="s">
        <v>172</v>
      </c>
      <c r="D10" s="67" t="s">
        <v>28</v>
      </c>
      <c r="E10" s="68" t="s">
        <v>309</v>
      </c>
      <c r="F10" s="67" t="s">
        <v>283</v>
      </c>
      <c r="G10" s="67" t="s">
        <v>276</v>
      </c>
      <c r="H10" s="67" t="s">
        <v>279</v>
      </c>
      <c r="I10" s="69">
        <v>5.3944858999999998E-2</v>
      </c>
      <c r="J10" s="70">
        <v>63.609473438008408</v>
      </c>
    </row>
    <row r="11" spans="1:10" s="71" customFormat="1">
      <c r="A11" s="65" t="s">
        <v>38</v>
      </c>
      <c r="B11" s="66" t="s">
        <v>284</v>
      </c>
      <c r="C11" s="67" t="s">
        <v>212</v>
      </c>
      <c r="D11" s="67" t="s">
        <v>215</v>
      </c>
      <c r="E11" s="68" t="s">
        <v>217</v>
      </c>
      <c r="F11" s="67" t="s">
        <v>455</v>
      </c>
      <c r="G11" s="67" t="s">
        <v>218</v>
      </c>
      <c r="H11" s="67" t="s">
        <v>175</v>
      </c>
      <c r="I11" s="69">
        <v>5.5192583000000003E-2</v>
      </c>
      <c r="J11" s="70">
        <v>74.138500861070739</v>
      </c>
    </row>
    <row r="12" spans="1:10" s="71" customFormat="1">
      <c r="A12" s="65" t="s">
        <v>38</v>
      </c>
      <c r="B12" s="66" t="s">
        <v>114</v>
      </c>
      <c r="C12" s="67" t="s">
        <v>226</v>
      </c>
      <c r="D12" s="67" t="s">
        <v>242</v>
      </c>
      <c r="E12" s="68" t="s">
        <v>313</v>
      </c>
      <c r="F12" s="67" t="s">
        <v>223</v>
      </c>
      <c r="G12" s="67" t="s">
        <v>227</v>
      </c>
      <c r="H12" s="67" t="s">
        <v>228</v>
      </c>
      <c r="I12" s="69">
        <v>1.4641096</v>
      </c>
      <c r="J12" s="70">
        <v>937.170910924483</v>
      </c>
    </row>
    <row r="13" spans="1:10" s="71" customFormat="1">
      <c r="A13" s="65" t="s">
        <v>438</v>
      </c>
      <c r="B13" s="66" t="s">
        <v>48</v>
      </c>
      <c r="C13" s="67" t="s">
        <v>131</v>
      </c>
      <c r="D13" s="67" t="s">
        <v>28</v>
      </c>
      <c r="E13" s="68" t="s">
        <v>200</v>
      </c>
      <c r="F13" s="67" t="s">
        <v>49</v>
      </c>
      <c r="G13" s="67" t="s">
        <v>360</v>
      </c>
      <c r="H13" s="67" t="s">
        <v>132</v>
      </c>
      <c r="I13" s="69">
        <v>2.4259216E-2</v>
      </c>
      <c r="J13" s="70">
        <v>17.312235200913868</v>
      </c>
    </row>
    <row r="14" spans="1:10" s="71" customFormat="1">
      <c r="A14" s="65" t="s">
        <v>438</v>
      </c>
      <c r="B14" s="66" t="s">
        <v>55</v>
      </c>
      <c r="C14" s="67" t="s">
        <v>137</v>
      </c>
      <c r="D14" s="67" t="s">
        <v>27</v>
      </c>
      <c r="E14" s="68" t="s">
        <v>216</v>
      </c>
      <c r="F14" s="67" t="s">
        <v>47</v>
      </c>
      <c r="G14" s="67" t="s">
        <v>110</v>
      </c>
      <c r="H14" s="67" t="s">
        <v>408</v>
      </c>
      <c r="I14" s="69">
        <v>2.3317665000000001E-2</v>
      </c>
      <c r="J14" s="70">
        <v>35.005687060780502</v>
      </c>
    </row>
    <row r="15" spans="1:10" s="71" customFormat="1">
      <c r="A15" s="65" t="s">
        <v>438</v>
      </c>
      <c r="B15" s="66" t="s">
        <v>56</v>
      </c>
      <c r="C15" s="67" t="s">
        <v>246</v>
      </c>
      <c r="D15" s="67" t="s">
        <v>28</v>
      </c>
      <c r="E15" s="68" t="s">
        <v>216</v>
      </c>
      <c r="F15" s="67" t="s">
        <v>415</v>
      </c>
      <c r="G15" s="67" t="s">
        <v>416</v>
      </c>
      <c r="H15" s="67" t="s">
        <v>417</v>
      </c>
      <c r="I15" s="69">
        <v>3.4961933000000001E-2</v>
      </c>
      <c r="J15" s="70">
        <v>51.137872897834605</v>
      </c>
    </row>
    <row r="16" spans="1:10" s="71" customFormat="1">
      <c r="A16" s="65" t="s">
        <v>438</v>
      </c>
      <c r="B16" s="66" t="s">
        <v>160</v>
      </c>
      <c r="C16" s="67" t="s">
        <v>418</v>
      </c>
      <c r="D16" s="67" t="s">
        <v>28</v>
      </c>
      <c r="E16" s="68" t="s">
        <v>380</v>
      </c>
      <c r="F16" s="67" t="s">
        <v>411</v>
      </c>
      <c r="G16" s="67" t="s">
        <v>416</v>
      </c>
      <c r="H16" s="67" t="s">
        <v>419</v>
      </c>
      <c r="I16" s="69">
        <v>0.22940548999999999</v>
      </c>
      <c r="J16" s="70">
        <v>279.27793217704232</v>
      </c>
    </row>
    <row r="17" spans="1:10" s="71" customFormat="1">
      <c r="A17" s="65" t="s">
        <v>438</v>
      </c>
      <c r="B17" s="66" t="s">
        <v>57</v>
      </c>
      <c r="C17" s="67" t="s">
        <v>412</v>
      </c>
      <c r="D17" s="67" t="s">
        <v>28</v>
      </c>
      <c r="E17" s="68" t="s">
        <v>200</v>
      </c>
      <c r="F17" s="67" t="s">
        <v>413</v>
      </c>
      <c r="G17" s="67" t="s">
        <v>110</v>
      </c>
      <c r="H17" s="67" t="s">
        <v>414</v>
      </c>
      <c r="I17" s="69">
        <v>0.14324999999999999</v>
      </c>
      <c r="J17" s="70">
        <v>178.6164082908914</v>
      </c>
    </row>
    <row r="18" spans="1:10" s="71" customFormat="1">
      <c r="A18" s="65" t="s">
        <v>438</v>
      </c>
      <c r="B18" s="66" t="s">
        <v>58</v>
      </c>
      <c r="C18" s="67" t="s">
        <v>409</v>
      </c>
      <c r="D18" s="67" t="s">
        <v>28</v>
      </c>
      <c r="E18" s="68" t="s">
        <v>216</v>
      </c>
      <c r="F18" s="67" t="s">
        <v>411</v>
      </c>
      <c r="G18" s="67" t="s">
        <v>134</v>
      </c>
      <c r="H18" s="67" t="s">
        <v>410</v>
      </c>
      <c r="I18" s="69">
        <v>2.6666532E-2</v>
      </c>
      <c r="J18" s="70">
        <v>42.501973704446463</v>
      </c>
    </row>
    <row r="19" spans="1:10" s="71" customFormat="1" ht="15" thickBot="1">
      <c r="A19" s="73" t="s">
        <v>438</v>
      </c>
      <c r="B19" s="74" t="s">
        <v>343</v>
      </c>
      <c r="C19" s="75" t="s">
        <v>140</v>
      </c>
      <c r="D19" s="75" t="s">
        <v>28</v>
      </c>
      <c r="E19" s="76" t="s">
        <v>216</v>
      </c>
      <c r="F19" s="75" t="s">
        <v>342</v>
      </c>
      <c r="G19" s="75" t="s">
        <v>341</v>
      </c>
      <c r="H19" s="75" t="s">
        <v>340</v>
      </c>
      <c r="I19" s="77">
        <v>0.11774149</v>
      </c>
      <c r="J19" s="78">
        <v>125.3715286226643</v>
      </c>
    </row>
  </sheetData>
  <sortState ref="A3:O19">
    <sortCondition ref="A3:A19"/>
    <sortCondition ref="B3:B19"/>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8"/>
  <sheetViews>
    <sheetView zoomScale="150" zoomScaleNormal="90" workbookViewId="0">
      <selection activeCell="A36" sqref="A36"/>
    </sheetView>
  </sheetViews>
  <sheetFormatPr baseColWidth="10" defaultColWidth="10.81640625" defaultRowHeight="14.5"/>
  <cols>
    <col min="1" max="1" width="67" style="7" customWidth="1"/>
    <col min="2" max="2" width="12.36328125" style="7" customWidth="1"/>
    <col min="3" max="3" width="20.453125" style="39" customWidth="1"/>
    <col min="4" max="11" width="12.36328125" style="7" customWidth="1"/>
    <col min="12" max="16384" width="10.81640625" style="7"/>
  </cols>
  <sheetData>
    <row r="1" spans="1:25">
      <c r="A1" s="16" t="s">
        <v>120</v>
      </c>
      <c r="B1" s="28"/>
      <c r="C1" s="28"/>
      <c r="D1" s="28"/>
      <c r="E1" s="28"/>
      <c r="F1" s="29"/>
      <c r="G1" s="29"/>
      <c r="H1" s="29"/>
      <c r="I1" s="29"/>
      <c r="J1" s="29"/>
      <c r="K1" s="29"/>
      <c r="L1" s="91"/>
      <c r="M1" s="91"/>
      <c r="N1" s="91"/>
      <c r="O1" s="91"/>
      <c r="P1" s="91"/>
      <c r="Q1" s="91"/>
      <c r="R1" s="91"/>
      <c r="S1" s="91"/>
      <c r="T1" s="91"/>
      <c r="U1" s="91"/>
      <c r="V1" s="91"/>
      <c r="W1" s="91"/>
      <c r="X1" s="91"/>
      <c r="Y1" s="91"/>
    </row>
    <row r="2" spans="1:25" ht="15" thickBot="1">
      <c r="A2" s="25"/>
      <c r="B2" s="25"/>
      <c r="C2" s="26"/>
      <c r="D2" s="26"/>
      <c r="E2" s="45"/>
      <c r="F2" s="45"/>
      <c r="G2" s="92"/>
      <c r="H2" s="91"/>
      <c r="I2" s="91"/>
      <c r="J2" s="91"/>
      <c r="K2" s="91"/>
      <c r="L2" s="91"/>
      <c r="M2" s="91"/>
      <c r="N2" s="91"/>
      <c r="O2" s="91"/>
      <c r="P2" s="91"/>
      <c r="Q2" s="91"/>
      <c r="R2" s="91"/>
      <c r="S2" s="91"/>
      <c r="T2" s="91"/>
      <c r="U2" s="91"/>
      <c r="V2" s="91"/>
      <c r="W2" s="91"/>
      <c r="X2" s="91"/>
      <c r="Y2" s="91"/>
    </row>
    <row r="3" spans="1:25" ht="43.5">
      <c r="A3" s="96" t="s">
        <v>158</v>
      </c>
      <c r="B3" s="97" t="s">
        <v>61</v>
      </c>
      <c r="C3" s="98" t="s">
        <v>37</v>
      </c>
      <c r="D3" s="97" t="s">
        <v>121</v>
      </c>
      <c r="E3" s="99" t="s">
        <v>60</v>
      </c>
      <c r="F3" s="100" t="s">
        <v>611</v>
      </c>
      <c r="G3" s="93"/>
      <c r="H3" s="93"/>
      <c r="I3" s="93"/>
      <c r="J3" s="93"/>
      <c r="K3" s="93"/>
      <c r="L3" s="93"/>
      <c r="M3" s="93"/>
      <c r="N3" s="93"/>
      <c r="O3" s="93"/>
      <c r="P3" s="93"/>
      <c r="Q3" s="93"/>
      <c r="R3" s="93"/>
      <c r="S3" s="93"/>
      <c r="T3" s="93"/>
      <c r="U3" s="93"/>
      <c r="V3" s="93"/>
      <c r="W3" s="93"/>
      <c r="X3" s="93"/>
      <c r="Y3" s="93"/>
    </row>
    <row r="4" spans="1:25">
      <c r="A4" s="101" t="s">
        <v>180</v>
      </c>
      <c r="B4" s="41"/>
      <c r="C4" s="31"/>
      <c r="D4" s="31"/>
      <c r="E4" s="40"/>
      <c r="F4" s="102"/>
      <c r="G4" s="91"/>
      <c r="H4" s="91"/>
      <c r="I4" s="91"/>
      <c r="J4" s="91"/>
      <c r="K4" s="91"/>
      <c r="L4" s="91"/>
      <c r="M4" s="91"/>
      <c r="N4" s="91"/>
      <c r="O4" s="91"/>
      <c r="P4" s="91"/>
      <c r="Q4" s="91"/>
      <c r="R4" s="91"/>
      <c r="S4" s="91"/>
      <c r="T4" s="91"/>
      <c r="U4" s="91"/>
      <c r="V4" s="91"/>
      <c r="W4" s="91"/>
      <c r="X4" s="91"/>
      <c r="Y4" s="91"/>
    </row>
    <row r="5" spans="1:25" customFormat="1">
      <c r="A5" s="103" t="s">
        <v>420</v>
      </c>
      <c r="B5" s="1" t="s">
        <v>184</v>
      </c>
      <c r="C5" s="37"/>
      <c r="D5" s="8"/>
      <c r="E5" s="42">
        <v>8.1196589999999999E-2</v>
      </c>
      <c r="F5" s="104">
        <v>800.59155651756998</v>
      </c>
      <c r="G5" s="9"/>
      <c r="H5" s="91"/>
      <c r="I5" s="91"/>
      <c r="J5" s="91"/>
      <c r="K5" s="91"/>
      <c r="L5" s="9"/>
      <c r="M5" s="9"/>
      <c r="N5" s="9"/>
      <c r="O5" s="9"/>
      <c r="P5" s="9"/>
      <c r="Q5" s="9"/>
      <c r="R5" s="9"/>
      <c r="S5" s="9"/>
      <c r="T5" s="9"/>
      <c r="U5" s="94"/>
      <c r="V5" s="9"/>
      <c r="W5" s="9"/>
      <c r="X5" s="9"/>
      <c r="Y5" s="9"/>
    </row>
    <row r="6" spans="1:25" customFormat="1">
      <c r="A6" s="103" t="s">
        <v>421</v>
      </c>
      <c r="B6" s="1" t="s">
        <v>184</v>
      </c>
      <c r="C6" s="37"/>
      <c r="D6" s="8"/>
      <c r="E6" s="42">
        <v>14.925219999999999</v>
      </c>
      <c r="F6" s="104">
        <v>28530.484224577904</v>
      </c>
      <c r="G6" s="9"/>
      <c r="H6" s="91"/>
      <c r="I6" s="91"/>
      <c r="J6" s="91"/>
      <c r="K6" s="91"/>
      <c r="L6" s="9"/>
      <c r="M6" s="9"/>
      <c r="N6" s="9"/>
      <c r="O6" s="9"/>
      <c r="P6" s="9"/>
      <c r="Q6" s="9"/>
      <c r="R6" s="9"/>
      <c r="S6" s="9"/>
      <c r="T6" s="9"/>
      <c r="U6" s="94"/>
      <c r="V6" s="9"/>
      <c r="W6" s="9"/>
      <c r="X6" s="9"/>
      <c r="Y6" s="9"/>
    </row>
    <row r="7" spans="1:25" customFormat="1">
      <c r="A7" s="103" t="s">
        <v>210</v>
      </c>
      <c r="B7" s="1" t="s">
        <v>461</v>
      </c>
      <c r="C7" s="37" t="s">
        <v>468</v>
      </c>
      <c r="D7" s="37" t="s">
        <v>459</v>
      </c>
      <c r="E7" s="46">
        <v>3257.0668999999998</v>
      </c>
      <c r="F7" s="104">
        <v>8752286.2194483094</v>
      </c>
      <c r="G7" s="9"/>
      <c r="H7" s="91"/>
      <c r="I7" s="91"/>
      <c r="J7" s="91"/>
      <c r="K7" s="91"/>
      <c r="L7" s="9"/>
      <c r="M7" s="9"/>
      <c r="N7" s="9"/>
      <c r="O7" s="9"/>
      <c r="P7" s="9"/>
      <c r="Q7" s="9"/>
      <c r="R7" s="9"/>
      <c r="S7" s="9"/>
      <c r="T7" s="9"/>
      <c r="U7" s="9"/>
      <c r="V7" s="9"/>
      <c r="W7" s="9"/>
      <c r="X7" s="9"/>
      <c r="Y7" s="9"/>
    </row>
    <row r="8" spans="1:25" customFormat="1">
      <c r="A8" s="103" t="s">
        <v>440</v>
      </c>
      <c r="B8" s="1" t="s">
        <v>462</v>
      </c>
      <c r="C8" s="37" t="s">
        <v>469</v>
      </c>
      <c r="D8" s="37" t="s">
        <v>459</v>
      </c>
      <c r="E8" s="46">
        <v>721.66458</v>
      </c>
      <c r="F8" s="104">
        <v>1971104.8630199293</v>
      </c>
      <c r="G8" s="9"/>
      <c r="H8" s="91"/>
      <c r="I8" s="91"/>
      <c r="J8" s="91"/>
      <c r="K8" s="91"/>
      <c r="L8" s="9"/>
      <c r="M8" s="9"/>
      <c r="N8" s="9"/>
      <c r="O8" s="9"/>
      <c r="P8" s="9"/>
      <c r="Q8" s="9"/>
      <c r="R8" s="9"/>
      <c r="S8" s="9"/>
      <c r="T8" s="9"/>
      <c r="U8" s="9"/>
      <c r="V8" s="9"/>
      <c r="W8" s="9"/>
      <c r="X8" s="9"/>
      <c r="Y8" s="9"/>
    </row>
    <row r="9" spans="1:25" customFormat="1">
      <c r="A9" s="103" t="s">
        <v>211</v>
      </c>
      <c r="B9" s="1" t="s">
        <v>462</v>
      </c>
      <c r="C9" s="37" t="s">
        <v>470</v>
      </c>
      <c r="D9" s="37" t="s">
        <v>460</v>
      </c>
      <c r="E9" s="46">
        <v>2886.3921999999998</v>
      </c>
      <c r="F9" s="104">
        <v>6185808.046050013</v>
      </c>
      <c r="G9" s="9"/>
      <c r="H9" s="91"/>
      <c r="I9" s="91"/>
      <c r="J9" s="91"/>
      <c r="K9" s="91"/>
      <c r="L9" s="9"/>
      <c r="M9" s="9"/>
      <c r="N9" s="9"/>
      <c r="O9" s="9"/>
      <c r="P9" s="9"/>
      <c r="Q9" s="9"/>
      <c r="R9" s="9"/>
      <c r="S9" s="9"/>
      <c r="T9" s="9"/>
      <c r="U9" s="9"/>
      <c r="V9" s="9"/>
      <c r="W9" s="9"/>
      <c r="X9" s="9"/>
      <c r="Y9" s="9"/>
    </row>
    <row r="10" spans="1:25" customFormat="1">
      <c r="A10" s="103" t="s">
        <v>425</v>
      </c>
      <c r="B10" s="48" t="s">
        <v>463</v>
      </c>
      <c r="C10" s="37" t="s">
        <v>471</v>
      </c>
      <c r="D10" s="8"/>
      <c r="E10" s="42">
        <v>0.53076179999999995</v>
      </c>
      <c r="F10" s="104">
        <v>660.00045829705505</v>
      </c>
      <c r="G10" s="9"/>
      <c r="H10" s="91"/>
      <c r="I10" s="91"/>
      <c r="J10" s="91"/>
      <c r="K10" s="91"/>
      <c r="L10" s="9"/>
      <c r="M10" s="9"/>
      <c r="N10" s="9"/>
      <c r="O10" s="9"/>
      <c r="P10" s="9"/>
      <c r="Q10" s="9"/>
      <c r="R10" s="9"/>
      <c r="S10" s="9"/>
      <c r="T10" s="9"/>
      <c r="U10" s="94"/>
      <c r="V10" s="9"/>
      <c r="W10" s="9"/>
      <c r="X10" s="9"/>
      <c r="Y10" s="9"/>
    </row>
    <row r="11" spans="1:25" customFormat="1">
      <c r="A11" s="103" t="s">
        <v>441</v>
      </c>
      <c r="B11" s="1" t="s">
        <v>464</v>
      </c>
      <c r="C11" s="37" t="s">
        <v>432</v>
      </c>
      <c r="D11" s="8"/>
      <c r="E11" s="42">
        <v>0.12650078000000001</v>
      </c>
      <c r="F11" s="104">
        <v>395.68398394124301</v>
      </c>
      <c r="G11" s="9"/>
      <c r="H11" s="91"/>
      <c r="I11" s="91"/>
      <c r="J11" s="91"/>
      <c r="K11" s="91"/>
      <c r="L11" s="9"/>
      <c r="M11" s="9"/>
      <c r="N11" s="9"/>
      <c r="O11" s="9"/>
      <c r="P11" s="9"/>
      <c r="Q11" s="9"/>
      <c r="R11" s="9"/>
      <c r="S11" s="9"/>
      <c r="T11" s="9"/>
      <c r="U11" s="94"/>
      <c r="V11" s="9"/>
      <c r="W11" s="9"/>
      <c r="X11" s="9"/>
      <c r="Y11" s="9"/>
    </row>
    <row r="12" spans="1:25" customFormat="1">
      <c r="A12" s="103" t="s">
        <v>442</v>
      </c>
      <c r="B12" s="1" t="s">
        <v>457</v>
      </c>
      <c r="C12" s="37" t="s">
        <v>433</v>
      </c>
      <c r="D12" s="8"/>
      <c r="E12" s="43">
        <v>2.3422274999999999E-2</v>
      </c>
      <c r="F12" s="105">
        <v>23.447429895265422</v>
      </c>
      <c r="G12" s="94"/>
      <c r="H12" s="91"/>
      <c r="I12" s="91"/>
      <c r="J12" s="91"/>
      <c r="K12" s="91"/>
      <c r="L12" s="94"/>
      <c r="M12" s="94"/>
      <c r="N12" s="94"/>
      <c r="O12" s="94"/>
      <c r="P12" s="94"/>
      <c r="Q12" s="94"/>
      <c r="R12" s="94"/>
      <c r="S12" s="94"/>
      <c r="T12" s="94"/>
      <c r="U12" s="94"/>
      <c r="V12" s="94"/>
      <c r="W12" s="9"/>
      <c r="X12" s="94"/>
      <c r="Y12" s="94"/>
    </row>
    <row r="13" spans="1:25" customFormat="1">
      <c r="A13" s="106" t="s">
        <v>430</v>
      </c>
      <c r="B13" s="1" t="s">
        <v>465</v>
      </c>
      <c r="C13" s="50" t="s">
        <v>431</v>
      </c>
      <c r="D13" s="1"/>
      <c r="E13" s="95">
        <v>44.739713999999999</v>
      </c>
      <c r="F13" s="107">
        <v>90714.552056472254</v>
      </c>
      <c r="G13" s="9"/>
      <c r="H13" s="91"/>
      <c r="I13" s="91"/>
      <c r="J13" s="91"/>
      <c r="K13" s="91"/>
      <c r="L13" s="9"/>
      <c r="M13" s="9"/>
      <c r="N13" s="9"/>
      <c r="O13" s="9"/>
      <c r="P13" s="9"/>
      <c r="Q13" s="9"/>
      <c r="R13" s="9"/>
      <c r="S13" s="9"/>
      <c r="T13" s="9"/>
      <c r="U13" s="9"/>
      <c r="V13" s="9"/>
      <c r="W13" s="9"/>
      <c r="X13" s="9"/>
      <c r="Y13" s="9"/>
    </row>
    <row r="14" spans="1:25" customFormat="1">
      <c r="A14" s="106" t="s">
        <v>434</v>
      </c>
      <c r="B14" s="1" t="s">
        <v>465</v>
      </c>
      <c r="C14" s="50"/>
      <c r="D14" s="1"/>
      <c r="E14" s="95">
        <v>9.8855488000000005E-2</v>
      </c>
      <c r="F14" s="107">
        <v>58.551380806178535</v>
      </c>
      <c r="G14" s="9"/>
      <c r="H14" s="91"/>
      <c r="I14" s="91"/>
      <c r="J14" s="91"/>
      <c r="K14" s="91"/>
      <c r="L14" s="9"/>
      <c r="M14" s="9"/>
      <c r="N14" s="9"/>
      <c r="O14" s="9"/>
      <c r="P14" s="9"/>
      <c r="Q14" s="9"/>
      <c r="R14" s="9"/>
      <c r="S14" s="9"/>
      <c r="T14" s="9"/>
      <c r="U14" s="9"/>
      <c r="V14" s="9"/>
      <c r="W14" s="9"/>
      <c r="X14" s="9"/>
      <c r="Y14" s="9"/>
    </row>
    <row r="15" spans="1:25" customFormat="1">
      <c r="A15" s="103" t="s">
        <v>443</v>
      </c>
      <c r="B15" s="1" t="s">
        <v>466</v>
      </c>
      <c r="C15" s="37"/>
      <c r="D15" s="8"/>
      <c r="E15" s="42">
        <v>9.0860707999999999</v>
      </c>
      <c r="F15" s="104">
        <v>19975.9370593764</v>
      </c>
      <c r="G15" s="9"/>
      <c r="H15" s="91"/>
      <c r="I15" s="91"/>
      <c r="J15" s="91"/>
      <c r="K15" s="91"/>
      <c r="L15" s="9"/>
      <c r="M15" s="9"/>
      <c r="N15" s="9"/>
      <c r="O15" s="9"/>
      <c r="P15" s="9"/>
      <c r="Q15" s="9"/>
      <c r="R15" s="9"/>
      <c r="S15" s="9"/>
      <c r="T15" s="9"/>
      <c r="U15" s="94"/>
      <c r="V15" s="9"/>
      <c r="W15" s="9"/>
      <c r="X15" s="9"/>
      <c r="Y15" s="9"/>
    </row>
    <row r="16" spans="1:25" customFormat="1">
      <c r="A16" s="103" t="s">
        <v>444</v>
      </c>
      <c r="B16" s="1" t="s">
        <v>466</v>
      </c>
      <c r="C16" s="37"/>
      <c r="D16" s="8"/>
      <c r="E16" s="42">
        <v>1.0354151</v>
      </c>
      <c r="F16" s="104">
        <v>662.36638319429596</v>
      </c>
      <c r="G16" s="9"/>
      <c r="H16" s="91"/>
      <c r="I16" s="91"/>
      <c r="J16" s="91"/>
      <c r="K16" s="91"/>
      <c r="L16" s="9"/>
      <c r="M16" s="9"/>
      <c r="N16" s="9"/>
      <c r="O16" s="9"/>
      <c r="P16" s="9"/>
      <c r="Q16" s="9"/>
      <c r="R16" s="9"/>
      <c r="S16" s="9"/>
      <c r="T16" s="9"/>
      <c r="U16" s="94"/>
      <c r="V16" s="9"/>
      <c r="W16" s="9"/>
      <c r="X16" s="9"/>
      <c r="Y16" s="9"/>
    </row>
    <row r="17" spans="1:25" customFormat="1">
      <c r="A17" s="103" t="s">
        <v>427</v>
      </c>
      <c r="B17" s="1" t="s">
        <v>458</v>
      </c>
      <c r="C17" s="37"/>
      <c r="D17" s="8"/>
      <c r="E17" s="43">
        <v>3.5215815000000001E-6</v>
      </c>
      <c r="F17" s="105">
        <v>5.3953789685957688E-3</v>
      </c>
      <c r="G17" s="94"/>
      <c r="H17" s="91"/>
      <c r="I17" s="91"/>
      <c r="J17" s="91"/>
      <c r="K17" s="91"/>
      <c r="L17" s="94"/>
      <c r="M17" s="94"/>
      <c r="N17" s="94"/>
      <c r="O17" s="94"/>
      <c r="P17" s="94"/>
      <c r="Q17" s="94"/>
      <c r="R17" s="94"/>
      <c r="S17" s="94"/>
      <c r="T17" s="94"/>
      <c r="U17" s="94"/>
      <c r="V17" s="94"/>
      <c r="W17" s="9"/>
      <c r="X17" s="94"/>
      <c r="Y17" s="94"/>
    </row>
    <row r="18" spans="1:25" customFormat="1">
      <c r="A18" s="103" t="s">
        <v>422</v>
      </c>
      <c r="B18" s="1" t="s">
        <v>184</v>
      </c>
      <c r="C18" s="37"/>
      <c r="D18" s="8"/>
      <c r="E18" s="42">
        <v>8.7237796999999997</v>
      </c>
      <c r="F18" s="104">
        <v>5685.0138150000002</v>
      </c>
      <c r="G18" s="9"/>
      <c r="H18" s="91"/>
      <c r="I18" s="91"/>
      <c r="J18" s="91"/>
      <c r="K18" s="91"/>
      <c r="L18" s="9"/>
      <c r="M18" s="9"/>
      <c r="N18" s="9"/>
      <c r="O18" s="9"/>
      <c r="P18" s="9"/>
      <c r="Q18" s="9"/>
      <c r="R18" s="9"/>
      <c r="S18" s="9"/>
      <c r="T18" s="9"/>
      <c r="U18" s="9"/>
      <c r="V18" s="9"/>
      <c r="W18" s="9"/>
      <c r="X18" s="9"/>
      <c r="Y18" s="9"/>
    </row>
    <row r="19" spans="1:25" customFormat="1">
      <c r="A19" s="103" t="s">
        <v>445</v>
      </c>
      <c r="B19" s="1" t="s">
        <v>467</v>
      </c>
      <c r="C19" s="37"/>
      <c r="D19" s="8"/>
      <c r="E19" s="42">
        <v>0.73025742000000005</v>
      </c>
      <c r="F19" s="104">
        <v>453.64278242000006</v>
      </c>
      <c r="G19" s="9"/>
      <c r="H19" s="91"/>
      <c r="I19" s="91"/>
      <c r="J19" s="91"/>
      <c r="K19" s="91"/>
      <c r="L19" s="9"/>
      <c r="M19" s="9"/>
      <c r="N19" s="9"/>
      <c r="O19" s="9"/>
      <c r="P19" s="9"/>
      <c r="Q19" s="9"/>
      <c r="R19" s="9"/>
      <c r="S19" s="9"/>
      <c r="T19" s="9"/>
      <c r="U19" s="9"/>
      <c r="V19" s="9"/>
      <c r="W19" s="9"/>
      <c r="X19" s="9"/>
      <c r="Y19" s="9"/>
    </row>
    <row r="20" spans="1:25" customFormat="1">
      <c r="A20" s="103" t="s">
        <v>424</v>
      </c>
      <c r="B20" s="48" t="s">
        <v>463</v>
      </c>
      <c r="C20" s="37" t="s">
        <v>472</v>
      </c>
      <c r="D20" s="8"/>
      <c r="E20" s="42">
        <v>5.2844189999999998</v>
      </c>
      <c r="F20" s="104">
        <v>7480.9350657257582</v>
      </c>
      <c r="G20" s="9"/>
      <c r="H20" s="91"/>
      <c r="I20" s="91"/>
      <c r="J20" s="91"/>
      <c r="K20" s="91"/>
      <c r="L20" s="9"/>
      <c r="M20" s="9"/>
      <c r="N20" s="9"/>
      <c r="O20" s="9"/>
      <c r="P20" s="9"/>
      <c r="Q20" s="9"/>
      <c r="R20" s="9"/>
      <c r="S20" s="9"/>
      <c r="T20" s="9"/>
      <c r="U20" s="94"/>
      <c r="V20" s="9"/>
      <c r="W20" s="9"/>
      <c r="X20" s="9"/>
      <c r="Y20" s="9"/>
    </row>
    <row r="21" spans="1:25" customFormat="1">
      <c r="A21" s="101" t="s">
        <v>426</v>
      </c>
      <c r="B21" s="1"/>
      <c r="C21" s="50"/>
      <c r="D21" s="1"/>
      <c r="E21" s="1"/>
      <c r="F21" s="108"/>
      <c r="G21" s="9"/>
      <c r="H21" s="91"/>
      <c r="I21" s="91"/>
      <c r="J21" s="91"/>
      <c r="K21" s="91"/>
      <c r="L21" s="9"/>
      <c r="M21" s="9"/>
      <c r="N21" s="9"/>
      <c r="O21" s="9"/>
      <c r="P21" s="9"/>
      <c r="Q21" s="9"/>
      <c r="R21" s="9"/>
      <c r="S21" s="9"/>
      <c r="T21" s="9"/>
      <c r="U21" s="9"/>
      <c r="V21" s="9"/>
      <c r="W21" s="9"/>
      <c r="X21" s="9"/>
      <c r="Y21" s="9"/>
    </row>
    <row r="22" spans="1:25">
      <c r="A22" s="109" t="s">
        <v>153</v>
      </c>
      <c r="B22" s="31" t="s">
        <v>183</v>
      </c>
      <c r="C22" s="31" t="s">
        <v>154</v>
      </c>
      <c r="D22" s="31"/>
      <c r="E22" s="44">
        <v>7.9467985999999999E-7</v>
      </c>
      <c r="F22" s="105">
        <v>7.9455784516751994E-4</v>
      </c>
      <c r="G22" s="94"/>
      <c r="H22" s="91"/>
      <c r="I22" s="91"/>
      <c r="J22" s="91"/>
      <c r="K22" s="91"/>
      <c r="L22" s="91"/>
      <c r="M22" s="91"/>
      <c r="N22" s="91"/>
      <c r="O22" s="91"/>
      <c r="P22" s="91"/>
      <c r="Q22" s="91"/>
      <c r="R22" s="91"/>
      <c r="S22" s="91"/>
      <c r="T22" s="91"/>
      <c r="U22" s="91"/>
      <c r="V22" s="91"/>
      <c r="W22" s="91"/>
      <c r="X22" s="91"/>
      <c r="Y22" s="91"/>
    </row>
    <row r="23" spans="1:25">
      <c r="A23" s="109" t="s">
        <v>435</v>
      </c>
      <c r="B23" s="31" t="s">
        <v>436</v>
      </c>
      <c r="C23" s="31" t="s">
        <v>285</v>
      </c>
      <c r="D23" s="31"/>
      <c r="E23" s="43">
        <v>9.6638044999999995E-3</v>
      </c>
      <c r="F23" s="104">
        <v>10.899262187457541</v>
      </c>
      <c r="G23" s="94"/>
      <c r="H23" s="91"/>
      <c r="I23" s="91"/>
      <c r="J23" s="91"/>
      <c r="K23" s="91"/>
      <c r="L23" s="94"/>
      <c r="M23" s="9"/>
      <c r="N23" s="9"/>
      <c r="O23" s="9"/>
      <c r="P23" s="9"/>
      <c r="Q23" s="94"/>
      <c r="R23" s="9"/>
      <c r="S23" s="94"/>
      <c r="T23" s="9"/>
      <c r="U23" s="94"/>
      <c r="V23" s="9"/>
      <c r="W23" s="9"/>
      <c r="X23" s="94"/>
      <c r="Y23" s="9"/>
    </row>
    <row r="24" spans="1:25">
      <c r="A24" s="109" t="s">
        <v>446</v>
      </c>
      <c r="B24" s="31" t="s">
        <v>367</v>
      </c>
      <c r="C24" s="31" t="s">
        <v>368</v>
      </c>
      <c r="D24" s="31" t="s">
        <v>366</v>
      </c>
      <c r="E24" s="43">
        <v>7.7365710999999998E-3</v>
      </c>
      <c r="F24" s="104">
        <v>8.6342972664870192</v>
      </c>
      <c r="G24" s="94"/>
      <c r="H24" s="91"/>
      <c r="I24" s="91"/>
      <c r="J24" s="91"/>
      <c r="K24" s="91"/>
      <c r="L24" s="94"/>
      <c r="M24" s="9"/>
      <c r="N24" s="9"/>
      <c r="O24" s="9"/>
      <c r="P24" s="9"/>
      <c r="Q24" s="94"/>
      <c r="R24" s="9"/>
      <c r="S24" s="94"/>
      <c r="T24" s="9"/>
      <c r="U24" s="94"/>
      <c r="V24" s="9"/>
      <c r="W24" s="9"/>
      <c r="X24" s="94"/>
      <c r="Y24" s="9"/>
    </row>
    <row r="25" spans="1:25">
      <c r="A25" s="109" t="s">
        <v>148</v>
      </c>
      <c r="B25" s="31" t="s">
        <v>181</v>
      </c>
      <c r="C25" s="31" t="s">
        <v>378</v>
      </c>
      <c r="D25" s="31" t="s">
        <v>377</v>
      </c>
      <c r="E25" s="43">
        <v>9.9825318000000009E-4</v>
      </c>
      <c r="F25" s="104">
        <v>1.125228878291366</v>
      </c>
      <c r="G25" s="9"/>
      <c r="H25" s="91"/>
      <c r="I25" s="91"/>
      <c r="J25" s="91"/>
      <c r="K25" s="91"/>
      <c r="L25" s="9"/>
      <c r="M25" s="9"/>
      <c r="N25" s="9"/>
      <c r="O25" s="9"/>
      <c r="P25" s="9"/>
      <c r="Q25" s="9"/>
      <c r="R25" s="9"/>
      <c r="S25" s="94"/>
      <c r="T25" s="9"/>
      <c r="U25" s="94"/>
      <c r="V25" s="9"/>
      <c r="W25" s="9"/>
      <c r="X25" s="9"/>
      <c r="Y25" s="9"/>
    </row>
    <row r="26" spans="1:25">
      <c r="A26" s="109" t="s">
        <v>149</v>
      </c>
      <c r="B26" s="31" t="s">
        <v>181</v>
      </c>
      <c r="C26" s="31" t="s">
        <v>150</v>
      </c>
      <c r="D26" s="31"/>
      <c r="E26" s="43">
        <v>3.5215815000000001E-6</v>
      </c>
      <c r="F26" s="104">
        <v>5.3953789685957688E-3</v>
      </c>
      <c r="G26" s="94"/>
      <c r="H26" s="91"/>
      <c r="I26" s="91"/>
      <c r="J26" s="91"/>
      <c r="K26" s="91"/>
      <c r="L26" s="94"/>
      <c r="M26" s="9"/>
      <c r="N26" s="94"/>
      <c r="O26" s="9"/>
      <c r="P26" s="94"/>
      <c r="Q26" s="94"/>
      <c r="R26" s="9"/>
      <c r="S26" s="94"/>
      <c r="T26" s="94"/>
      <c r="U26" s="94"/>
      <c r="V26" s="94"/>
      <c r="W26" s="9"/>
      <c r="X26" s="94"/>
      <c r="Y26" s="9"/>
    </row>
    <row r="27" spans="1:25">
      <c r="A27" s="109" t="s">
        <v>126</v>
      </c>
      <c r="B27" s="31" t="s">
        <v>182</v>
      </c>
      <c r="C27" s="31" t="s">
        <v>473</v>
      </c>
      <c r="D27" s="31"/>
      <c r="E27" s="42">
        <v>1.0238207E-3</v>
      </c>
      <c r="F27" s="104">
        <v>1.0236634838875469</v>
      </c>
      <c r="G27" s="9"/>
      <c r="H27" s="91"/>
      <c r="I27" s="91"/>
      <c r="J27" s="91"/>
      <c r="K27" s="91"/>
      <c r="L27" s="9"/>
      <c r="M27" s="9"/>
      <c r="N27" s="9"/>
      <c r="O27" s="9"/>
      <c r="P27" s="9"/>
      <c r="Q27" s="9"/>
      <c r="R27" s="9"/>
      <c r="S27" s="94"/>
      <c r="T27" s="9"/>
      <c r="U27" s="94"/>
      <c r="V27" s="9"/>
      <c r="W27" s="94"/>
      <c r="X27" s="9"/>
      <c r="Y27" s="9"/>
    </row>
    <row r="28" spans="1:25">
      <c r="A28" s="110" t="s">
        <v>130</v>
      </c>
      <c r="B28" s="30" t="s">
        <v>182</v>
      </c>
      <c r="C28" s="31" t="s">
        <v>122</v>
      </c>
      <c r="D28" s="31" t="s">
        <v>145</v>
      </c>
      <c r="E28" s="42">
        <v>8.9278533E-3</v>
      </c>
      <c r="F28" s="104">
        <v>7.43302534117307</v>
      </c>
      <c r="G28" s="94"/>
      <c r="H28" s="91"/>
      <c r="I28" s="91"/>
      <c r="J28" s="91"/>
      <c r="K28" s="91"/>
      <c r="L28" s="94"/>
      <c r="M28" s="94"/>
      <c r="N28" s="94"/>
      <c r="O28" s="94"/>
      <c r="P28" s="94"/>
      <c r="Q28" s="94"/>
      <c r="R28" s="94"/>
      <c r="S28" s="94"/>
      <c r="T28" s="94"/>
      <c r="U28" s="94"/>
      <c r="V28" s="94"/>
      <c r="W28" s="94"/>
      <c r="X28" s="9"/>
      <c r="Y28" s="9"/>
    </row>
    <row r="29" spans="1:25">
      <c r="A29" s="109" t="s">
        <v>144</v>
      </c>
      <c r="B29" s="31" t="s">
        <v>182</v>
      </c>
      <c r="C29" s="31" t="s">
        <v>429</v>
      </c>
      <c r="D29" s="31" t="s">
        <v>428</v>
      </c>
      <c r="E29" s="42">
        <v>3.5864619999999999E-3</v>
      </c>
      <c r="F29" s="104">
        <v>4.9649035083482271</v>
      </c>
      <c r="G29" s="9"/>
      <c r="H29" s="91"/>
      <c r="I29" s="91"/>
      <c r="J29" s="91"/>
      <c r="K29" s="91"/>
      <c r="L29" s="9"/>
      <c r="M29" s="9"/>
      <c r="N29" s="9"/>
      <c r="O29" s="9"/>
      <c r="P29" s="9"/>
      <c r="Q29" s="94"/>
      <c r="R29" s="9"/>
      <c r="S29" s="94"/>
      <c r="T29" s="9"/>
      <c r="U29" s="94"/>
      <c r="V29" s="9"/>
      <c r="W29" s="9"/>
      <c r="X29" s="9"/>
      <c r="Y29" s="9"/>
    </row>
    <row r="30" spans="1:25">
      <c r="A30" s="109" t="s">
        <v>151</v>
      </c>
      <c r="B30" s="31" t="s">
        <v>182</v>
      </c>
      <c r="C30" s="31" t="s">
        <v>449</v>
      </c>
      <c r="D30" s="31" t="s">
        <v>450</v>
      </c>
      <c r="E30" s="42">
        <v>1.7632881999999999E-2</v>
      </c>
      <c r="F30" s="104">
        <v>33.131402725147069</v>
      </c>
      <c r="G30" s="9"/>
      <c r="H30" s="91"/>
      <c r="I30" s="91"/>
      <c r="J30" s="91"/>
      <c r="K30" s="91"/>
      <c r="L30" s="94"/>
      <c r="M30" s="9"/>
      <c r="N30" s="94"/>
      <c r="O30" s="94"/>
      <c r="P30" s="9"/>
      <c r="Q30" s="94"/>
      <c r="R30" s="94"/>
      <c r="S30" s="94"/>
      <c r="T30" s="94"/>
      <c r="U30" s="94"/>
      <c r="V30" s="94"/>
      <c r="W30" s="9"/>
      <c r="X30" s="9"/>
      <c r="Y30" s="9"/>
    </row>
    <row r="31" spans="1:25">
      <c r="A31" s="110" t="s">
        <v>123</v>
      </c>
      <c r="B31" s="30" t="s">
        <v>182</v>
      </c>
      <c r="C31" s="31" t="s">
        <v>124</v>
      </c>
      <c r="D31" s="31" t="s">
        <v>146</v>
      </c>
      <c r="E31" s="42">
        <v>5.6626404000000002E-3</v>
      </c>
      <c r="F31" s="104">
        <v>5.7089442468655891</v>
      </c>
      <c r="G31" s="9"/>
      <c r="H31" s="91"/>
      <c r="I31" s="91"/>
      <c r="J31" s="91"/>
      <c r="K31" s="91"/>
      <c r="L31" s="9"/>
      <c r="M31" s="9"/>
      <c r="N31" s="9"/>
      <c r="O31" s="94"/>
      <c r="P31" s="9"/>
      <c r="Q31" s="94"/>
      <c r="R31" s="9"/>
      <c r="S31" s="94"/>
      <c r="T31" s="9"/>
      <c r="U31" s="94"/>
      <c r="V31" s="94"/>
      <c r="W31" s="9"/>
      <c r="X31" s="9"/>
      <c r="Y31" s="9"/>
    </row>
    <row r="32" spans="1:25">
      <c r="A32" s="211" t="s">
        <v>139</v>
      </c>
      <c r="B32" s="212" t="s">
        <v>182</v>
      </c>
      <c r="C32" s="212" t="s">
        <v>315</v>
      </c>
      <c r="D32" s="212" t="s">
        <v>314</v>
      </c>
      <c r="E32" s="213">
        <v>6.3796634000000005E-2</v>
      </c>
      <c r="F32" s="214">
        <v>61.762056668655894</v>
      </c>
      <c r="G32" s="9"/>
      <c r="H32" s="91"/>
      <c r="I32" s="91"/>
      <c r="J32" s="91"/>
      <c r="K32" s="91"/>
      <c r="L32" s="9"/>
      <c r="M32" s="9"/>
      <c r="N32" s="9"/>
      <c r="O32" s="9"/>
      <c r="P32" s="9"/>
      <c r="Q32" s="9"/>
      <c r="R32" s="9"/>
      <c r="S32" s="9"/>
      <c r="T32" s="9"/>
      <c r="U32" s="94"/>
      <c r="V32" s="9"/>
      <c r="W32" s="9"/>
      <c r="X32" s="9"/>
      <c r="Y32" s="9"/>
    </row>
    <row r="33" spans="1:11" s="64" customFormat="1">
      <c r="A33" s="209" t="s">
        <v>680</v>
      </c>
      <c r="B33" s="210" t="s">
        <v>681</v>
      </c>
      <c r="C33" s="209" t="s">
        <v>676</v>
      </c>
      <c r="D33" s="209"/>
      <c r="E33" s="215">
        <v>212</v>
      </c>
      <c r="F33" s="215">
        <v>699821</v>
      </c>
      <c r="G33" s="9"/>
      <c r="H33" s="91"/>
    </row>
    <row r="34" spans="1:11" s="64" customFormat="1">
      <c r="A34" s="220" t="s">
        <v>686</v>
      </c>
      <c r="B34" s="216" t="s">
        <v>685</v>
      </c>
      <c r="C34" s="216" t="s">
        <v>683</v>
      </c>
      <c r="D34" s="209"/>
      <c r="E34" s="217">
        <v>0.47977083999999998</v>
      </c>
      <c r="F34" s="218">
        <v>477.60140576647302</v>
      </c>
      <c r="G34" s="9"/>
      <c r="H34" s="91"/>
    </row>
    <row r="35" spans="1:11" s="64" customFormat="1">
      <c r="A35" s="220" t="s">
        <v>687</v>
      </c>
      <c r="B35" s="216" t="s">
        <v>685</v>
      </c>
      <c r="C35" s="216" t="s">
        <v>684</v>
      </c>
      <c r="D35" s="209"/>
      <c r="E35" s="217">
        <v>7.9775067000000005E-2</v>
      </c>
      <c r="F35" s="219">
        <v>208.81704501643065</v>
      </c>
      <c r="G35" s="9"/>
      <c r="H35" s="91"/>
    </row>
    <row r="36" spans="1:11">
      <c r="A36" s="18"/>
      <c r="B36"/>
      <c r="C36" s="51"/>
      <c r="D36"/>
      <c r="E36"/>
      <c r="F36"/>
    </row>
    <row r="37" spans="1:11">
      <c r="A37" s="16" t="s">
        <v>203</v>
      </c>
      <c r="B37" s="17"/>
      <c r="C37" s="52"/>
      <c r="D37" s="17"/>
      <c r="E37" s="17"/>
      <c r="F37" s="17"/>
      <c r="G37" s="17"/>
      <c r="H37" s="17"/>
      <c r="I37" s="17"/>
      <c r="J37" s="17"/>
      <c r="K37" s="17"/>
    </row>
    <row r="38" spans="1:11">
      <c r="A38" s="7" t="s">
        <v>204</v>
      </c>
      <c r="B38" s="7" t="s">
        <v>205</v>
      </c>
      <c r="C38" s="39" t="s">
        <v>207</v>
      </c>
    </row>
    <row r="39" spans="1:11">
      <c r="B39" s="7" t="s">
        <v>206</v>
      </c>
      <c r="C39" s="39" t="s">
        <v>208</v>
      </c>
    </row>
    <row r="40" spans="1:11">
      <c r="C40" s="39" t="s">
        <v>209</v>
      </c>
    </row>
    <row r="42" spans="1:11">
      <c r="A42" s="16" t="s">
        <v>293</v>
      </c>
      <c r="B42" s="17"/>
      <c r="C42" s="52"/>
      <c r="D42" s="17"/>
      <c r="E42" s="17"/>
      <c r="F42" s="17"/>
      <c r="G42" s="17"/>
      <c r="H42" s="17"/>
      <c r="I42" s="17"/>
      <c r="J42" s="17"/>
      <c r="K42" s="17"/>
    </row>
    <row r="43" spans="1:11">
      <c r="A43" s="7" t="s">
        <v>320</v>
      </c>
      <c r="B43" s="7">
        <v>140000</v>
      </c>
      <c r="C43" s="39" t="s">
        <v>318</v>
      </c>
      <c r="D43" s="39" t="s">
        <v>319</v>
      </c>
    </row>
    <row r="44" spans="1:11">
      <c r="A44" s="7" t="s">
        <v>321</v>
      </c>
      <c r="B44" s="7">
        <v>125000000</v>
      </c>
      <c r="C44" s="39" t="s">
        <v>322</v>
      </c>
      <c r="D44" s="39" t="s">
        <v>423</v>
      </c>
    </row>
    <row r="45" spans="1:11">
      <c r="A45" s="7" t="s">
        <v>323</v>
      </c>
      <c r="B45" s="7">
        <f>B43*1000*1000/(B44*365)</f>
        <v>3.0684931506849313</v>
      </c>
      <c r="C45" s="39" t="s">
        <v>324</v>
      </c>
      <c r="D45" s="47" t="s">
        <v>325</v>
      </c>
    </row>
    <row r="46" spans="1:11">
      <c r="A46" s="39" t="s">
        <v>326</v>
      </c>
      <c r="D46" s="47"/>
    </row>
    <row r="47" spans="1:11">
      <c r="A47" s="39" t="s">
        <v>327</v>
      </c>
      <c r="D47" s="47"/>
    </row>
    <row r="48" spans="1:11">
      <c r="A48" s="39"/>
      <c r="D48" s="47"/>
    </row>
    <row r="49" spans="1:11">
      <c r="A49" s="39" t="s">
        <v>328</v>
      </c>
      <c r="D49" s="47"/>
    </row>
    <row r="51" spans="1:11">
      <c r="A51" s="16" t="s">
        <v>90</v>
      </c>
      <c r="B51" s="17"/>
      <c r="C51" s="52"/>
      <c r="D51" s="17"/>
      <c r="E51" s="17"/>
      <c r="F51" s="17"/>
      <c r="G51" s="17"/>
      <c r="H51" s="17"/>
      <c r="I51" s="17"/>
      <c r="J51" s="17"/>
      <c r="K51" s="17"/>
    </row>
    <row r="52" spans="1:11">
      <c r="A52" s="12" t="s">
        <v>75</v>
      </c>
      <c r="B52" s="12" t="s">
        <v>62</v>
      </c>
      <c r="C52" s="53"/>
      <c r="D52" s="12" t="s">
        <v>74</v>
      </c>
      <c r="E52" s="12"/>
      <c r="F52" s="12" t="s">
        <v>79</v>
      </c>
      <c r="G52" s="12"/>
      <c r="H52" s="12" t="s">
        <v>67</v>
      </c>
      <c r="I52" s="12"/>
      <c r="J52" s="12"/>
      <c r="K52" s="12"/>
    </row>
    <row r="53" spans="1:11" ht="156">
      <c r="A53" s="12"/>
      <c r="B53" s="12" t="s">
        <v>63</v>
      </c>
      <c r="C53" s="53" t="s">
        <v>64</v>
      </c>
      <c r="D53" s="12" t="s">
        <v>76</v>
      </c>
      <c r="E53" s="12" t="s">
        <v>77</v>
      </c>
      <c r="F53" s="12" t="s">
        <v>78</v>
      </c>
      <c r="G53" s="12" t="s">
        <v>77</v>
      </c>
      <c r="H53" s="12" t="s">
        <v>68</v>
      </c>
      <c r="I53" s="12" t="s">
        <v>69</v>
      </c>
      <c r="J53" s="12"/>
      <c r="K53" s="12" t="s">
        <v>71</v>
      </c>
    </row>
    <row r="54" spans="1:11">
      <c r="A54" s="12" t="s">
        <v>65</v>
      </c>
      <c r="B54" s="12"/>
      <c r="C54" s="53" t="s">
        <v>66</v>
      </c>
      <c r="D54" s="12"/>
      <c r="E54" s="12" t="s">
        <v>66</v>
      </c>
      <c r="F54" s="12"/>
      <c r="G54" s="12" t="s">
        <v>66</v>
      </c>
      <c r="H54" s="12"/>
      <c r="I54" s="12" t="s">
        <v>66</v>
      </c>
      <c r="J54" s="12"/>
      <c r="K54" s="12" t="s">
        <v>72</v>
      </c>
    </row>
    <row r="55" spans="1:11">
      <c r="A55" s="12"/>
      <c r="B55" s="12"/>
      <c r="C55" s="53"/>
      <c r="D55" s="12">
        <v>2010</v>
      </c>
      <c r="E55" s="13">
        <v>0.6</v>
      </c>
      <c r="F55" s="12">
        <v>2010</v>
      </c>
      <c r="G55" s="13">
        <v>0.06</v>
      </c>
      <c r="H55" s="12">
        <v>2010</v>
      </c>
      <c r="I55" s="13">
        <v>0.14000000000000001</v>
      </c>
      <c r="J55" s="12"/>
      <c r="K55" s="12"/>
    </row>
    <row r="56" spans="1:11">
      <c r="A56" s="12"/>
      <c r="B56" s="12"/>
      <c r="C56" s="53"/>
      <c r="D56" s="12">
        <f>D55+1</f>
        <v>2011</v>
      </c>
      <c r="E56" s="13">
        <f>E55*0.78</f>
        <v>0.46799999999999997</v>
      </c>
      <c r="F56" s="12">
        <f>F55+1</f>
        <v>2011</v>
      </c>
      <c r="G56" s="13">
        <f>G55*0.78</f>
        <v>4.6800000000000001E-2</v>
      </c>
      <c r="H56" s="12">
        <f>H55+1</f>
        <v>2011</v>
      </c>
      <c r="I56" s="13">
        <f>I55*0.9</f>
        <v>0.12600000000000003</v>
      </c>
      <c r="J56" s="12"/>
      <c r="K56" s="12"/>
    </row>
    <row r="57" spans="1:11">
      <c r="A57" s="12"/>
      <c r="B57" s="12">
        <v>2012</v>
      </c>
      <c r="C57" s="54">
        <v>0.15</v>
      </c>
      <c r="D57" s="12">
        <f t="shared" ref="D57:D65" si="0">D56+1</f>
        <v>2012</v>
      </c>
      <c r="E57" s="13">
        <f t="shared" ref="E57:E65" si="1">E56*0.78</f>
        <v>0.36503999999999998</v>
      </c>
      <c r="F57" s="12">
        <f t="shared" ref="F57:F65" si="2">F56+1</f>
        <v>2012</v>
      </c>
      <c r="G57" s="13">
        <f t="shared" ref="G57:G65" si="3">G56*0.78</f>
        <v>3.6504000000000002E-2</v>
      </c>
      <c r="H57" s="12">
        <f t="shared" ref="H57:H65" si="4">H56+1</f>
        <v>2012</v>
      </c>
      <c r="I57" s="13">
        <f t="shared" ref="I57:I65" si="5">I56*0.9</f>
        <v>0.11340000000000003</v>
      </c>
      <c r="J57" s="12"/>
      <c r="K57" s="12"/>
    </row>
    <row r="58" spans="1:11">
      <c r="A58" s="12"/>
      <c r="B58" s="12">
        <f>B57+1</f>
        <v>2013</v>
      </c>
      <c r="C58" s="54">
        <f>C57*0.9</f>
        <v>0.13500000000000001</v>
      </c>
      <c r="D58" s="12">
        <f t="shared" si="0"/>
        <v>2013</v>
      </c>
      <c r="E58" s="13">
        <f t="shared" si="1"/>
        <v>0.28473120000000002</v>
      </c>
      <c r="F58" s="12">
        <f t="shared" si="2"/>
        <v>2013</v>
      </c>
      <c r="G58" s="13">
        <f t="shared" si="3"/>
        <v>2.8473120000000001E-2</v>
      </c>
      <c r="H58" s="12">
        <f t="shared" si="4"/>
        <v>2013</v>
      </c>
      <c r="I58" s="13">
        <f t="shared" si="5"/>
        <v>0.10206000000000003</v>
      </c>
      <c r="J58" s="12"/>
      <c r="K58" s="12"/>
    </row>
    <row r="59" spans="1:11">
      <c r="A59" s="12"/>
      <c r="B59" s="12">
        <f t="shared" ref="B59:B63" si="6">B58+1</f>
        <v>2014</v>
      </c>
      <c r="C59" s="54">
        <f t="shared" ref="C59:C63" si="7">C58*0.9</f>
        <v>0.12150000000000001</v>
      </c>
      <c r="D59" s="12">
        <f t="shared" si="0"/>
        <v>2014</v>
      </c>
      <c r="E59" s="13">
        <f t="shared" si="1"/>
        <v>0.22209033600000003</v>
      </c>
      <c r="F59" s="12">
        <f t="shared" si="2"/>
        <v>2014</v>
      </c>
      <c r="G59" s="13">
        <f t="shared" si="3"/>
        <v>2.2209033600000001E-2</v>
      </c>
      <c r="H59" s="12">
        <f t="shared" si="4"/>
        <v>2014</v>
      </c>
      <c r="I59" s="13">
        <f t="shared" si="5"/>
        <v>9.1854000000000019E-2</v>
      </c>
      <c r="J59" s="12"/>
      <c r="K59" s="12"/>
    </row>
    <row r="60" spans="1:11">
      <c r="A60" s="12"/>
      <c r="B60" s="12">
        <f t="shared" si="6"/>
        <v>2015</v>
      </c>
      <c r="C60" s="54">
        <f t="shared" si="7"/>
        <v>0.10935000000000002</v>
      </c>
      <c r="D60" s="12">
        <f t="shared" si="0"/>
        <v>2015</v>
      </c>
      <c r="E60" s="13">
        <f t="shared" si="1"/>
        <v>0.17323046208000004</v>
      </c>
      <c r="F60" s="12">
        <f t="shared" si="2"/>
        <v>2015</v>
      </c>
      <c r="G60" s="13">
        <f t="shared" si="3"/>
        <v>1.7323046208000001E-2</v>
      </c>
      <c r="H60" s="12">
        <f t="shared" si="4"/>
        <v>2015</v>
      </c>
      <c r="I60" s="13">
        <f t="shared" si="5"/>
        <v>8.2668600000000023E-2</v>
      </c>
      <c r="J60" s="12"/>
      <c r="K60" s="12"/>
    </row>
    <row r="61" spans="1:11">
      <c r="A61" s="12"/>
      <c r="B61" s="12">
        <f t="shared" si="6"/>
        <v>2016</v>
      </c>
      <c r="C61" s="54">
        <f t="shared" si="7"/>
        <v>9.8415000000000016E-2</v>
      </c>
      <c r="D61" s="12">
        <f t="shared" si="0"/>
        <v>2016</v>
      </c>
      <c r="E61" s="13">
        <f t="shared" si="1"/>
        <v>0.13511976042240004</v>
      </c>
      <c r="F61" s="12">
        <f t="shared" si="2"/>
        <v>2016</v>
      </c>
      <c r="G61" s="13">
        <f t="shared" si="3"/>
        <v>1.3511976042240002E-2</v>
      </c>
      <c r="H61" s="12">
        <f t="shared" si="4"/>
        <v>2016</v>
      </c>
      <c r="I61" s="13">
        <f t="shared" si="5"/>
        <v>7.4401740000000022E-2</v>
      </c>
      <c r="J61" s="12"/>
      <c r="K61" s="12"/>
    </row>
    <row r="62" spans="1:11">
      <c r="A62" s="12"/>
      <c r="B62" s="12">
        <f t="shared" si="6"/>
        <v>2017</v>
      </c>
      <c r="C62" s="54">
        <f t="shared" si="7"/>
        <v>8.8573500000000013E-2</v>
      </c>
      <c r="D62" s="12">
        <f t="shared" si="0"/>
        <v>2017</v>
      </c>
      <c r="E62" s="13">
        <f t="shared" si="1"/>
        <v>0.10539341312947204</v>
      </c>
      <c r="F62" s="12">
        <f t="shared" si="2"/>
        <v>2017</v>
      </c>
      <c r="G62" s="13">
        <f t="shared" si="3"/>
        <v>1.0539341312947202E-2</v>
      </c>
      <c r="H62" s="12">
        <f t="shared" si="4"/>
        <v>2017</v>
      </c>
      <c r="I62" s="13">
        <f t="shared" si="5"/>
        <v>6.6961566000000028E-2</v>
      </c>
      <c r="J62" s="12">
        <v>2017</v>
      </c>
      <c r="K62" s="14">
        <v>0.43</v>
      </c>
    </row>
    <row r="63" spans="1:11">
      <c r="A63" s="12"/>
      <c r="B63" s="12">
        <f t="shared" si="6"/>
        <v>2018</v>
      </c>
      <c r="C63" s="54">
        <f t="shared" si="7"/>
        <v>7.9716150000000013E-2</v>
      </c>
      <c r="D63" s="12">
        <f t="shared" si="0"/>
        <v>2018</v>
      </c>
      <c r="E63" s="13">
        <f t="shared" si="1"/>
        <v>8.2206862240988193E-2</v>
      </c>
      <c r="F63" s="12">
        <f t="shared" si="2"/>
        <v>2018</v>
      </c>
      <c r="G63" s="13">
        <f t="shared" si="3"/>
        <v>8.2206862240988172E-3</v>
      </c>
      <c r="H63" s="12">
        <f t="shared" si="4"/>
        <v>2018</v>
      </c>
      <c r="I63" s="13">
        <f t="shared" si="5"/>
        <v>6.0265409400000025E-2</v>
      </c>
      <c r="J63" s="12"/>
      <c r="K63" s="12"/>
    </row>
    <row r="64" spans="1:11">
      <c r="A64" s="12"/>
      <c r="B64" s="12">
        <f t="shared" ref="B64:B65" si="8">B63+1</f>
        <v>2019</v>
      </c>
      <c r="C64" s="54">
        <f t="shared" ref="C64:C65" si="9">C63*0.9</f>
        <v>7.1744535000000012E-2</v>
      </c>
      <c r="D64" s="12">
        <f t="shared" si="0"/>
        <v>2019</v>
      </c>
      <c r="E64" s="13">
        <f t="shared" si="1"/>
        <v>6.4121352547970786E-2</v>
      </c>
      <c r="F64" s="12">
        <f t="shared" si="2"/>
        <v>2019</v>
      </c>
      <c r="G64" s="13">
        <f t="shared" si="3"/>
        <v>6.4121352547970778E-3</v>
      </c>
      <c r="H64" s="12">
        <f t="shared" si="4"/>
        <v>2019</v>
      </c>
      <c r="I64" s="13">
        <f t="shared" si="5"/>
        <v>5.4238868460000027E-2</v>
      </c>
      <c r="J64" s="12"/>
      <c r="K64" s="12"/>
    </row>
    <row r="65" spans="1:11">
      <c r="A65" s="12"/>
      <c r="B65" s="14">
        <f t="shared" si="8"/>
        <v>2020</v>
      </c>
      <c r="C65" s="55">
        <f t="shared" si="9"/>
        <v>6.4570081500000015E-2</v>
      </c>
      <c r="D65" s="14">
        <f t="shared" si="0"/>
        <v>2020</v>
      </c>
      <c r="E65" s="15">
        <f t="shared" si="1"/>
        <v>5.0014654987417216E-2</v>
      </c>
      <c r="F65" s="14">
        <f t="shared" si="2"/>
        <v>2020</v>
      </c>
      <c r="G65" s="15">
        <f t="shared" si="3"/>
        <v>5.0014654987417207E-3</v>
      </c>
      <c r="H65" s="14">
        <f t="shared" si="4"/>
        <v>2020</v>
      </c>
      <c r="I65" s="15">
        <f t="shared" si="5"/>
        <v>4.8814981614000025E-2</v>
      </c>
      <c r="J65" s="12">
        <v>2020</v>
      </c>
      <c r="K65" s="12">
        <v>0.31</v>
      </c>
    </row>
    <row r="66" spans="1:11">
      <c r="A66" s="12"/>
      <c r="B66" s="12"/>
      <c r="C66" s="53"/>
      <c r="D66" s="12"/>
      <c r="E66" s="12"/>
      <c r="F66" s="12"/>
      <c r="G66" s="12"/>
      <c r="H66" s="12"/>
      <c r="I66" s="12"/>
      <c r="J66" s="12"/>
      <c r="K66" s="12"/>
    </row>
    <row r="67" spans="1:11" ht="108">
      <c r="A67" s="12"/>
      <c r="B67" s="12" t="s">
        <v>70</v>
      </c>
      <c r="C67" s="53"/>
      <c r="D67" s="12"/>
      <c r="E67" s="12"/>
      <c r="F67" s="12"/>
      <c r="G67" s="12"/>
      <c r="H67" s="12"/>
      <c r="I67" s="12"/>
      <c r="J67" s="12"/>
      <c r="K67" s="12"/>
    </row>
    <row r="69" spans="1:11">
      <c r="A69" s="38" t="s">
        <v>115</v>
      </c>
      <c r="B69" s="8"/>
      <c r="C69" s="37"/>
      <c r="D69" s="36" t="s">
        <v>116</v>
      </c>
      <c r="E69" s="37" t="s">
        <v>280</v>
      </c>
      <c r="F69" s="8"/>
      <c r="G69" s="8"/>
      <c r="H69" s="8"/>
      <c r="I69" s="8"/>
      <c r="J69" s="8"/>
      <c r="K69" s="8"/>
    </row>
    <row r="70" spans="1:11">
      <c r="A70" s="35"/>
      <c r="B70" s="8"/>
      <c r="C70" s="37"/>
      <c r="D70" s="36" t="s">
        <v>117</v>
      </c>
      <c r="E70" s="37" t="s">
        <v>118</v>
      </c>
      <c r="F70" s="8"/>
      <c r="G70" s="8"/>
      <c r="H70" s="8"/>
      <c r="I70" s="8"/>
      <c r="J70" s="8"/>
      <c r="K70" s="8"/>
    </row>
    <row r="72" spans="1:11">
      <c r="A72" s="16" t="s">
        <v>107</v>
      </c>
      <c r="B72" s="17"/>
      <c r="C72" s="52"/>
      <c r="D72" s="17"/>
      <c r="E72" s="17"/>
      <c r="F72" s="17"/>
      <c r="G72" s="17"/>
      <c r="H72" s="17"/>
      <c r="I72" s="17"/>
      <c r="J72" s="17"/>
      <c r="K72" s="17"/>
    </row>
    <row r="73" spans="1:11">
      <c r="A73"/>
      <c r="B73"/>
      <c r="C73" s="51"/>
      <c r="D73"/>
      <c r="E73"/>
      <c r="F73"/>
      <c r="G73"/>
      <c r="H73"/>
      <c r="I73"/>
    </row>
    <row r="74" spans="1:11">
      <c r="A74" s="22" t="s">
        <v>92</v>
      </c>
      <c r="B74" s="23" t="s">
        <v>93</v>
      </c>
      <c r="C74" s="23" t="s">
        <v>94</v>
      </c>
      <c r="D74" s="23" t="s">
        <v>95</v>
      </c>
      <c r="E74" s="23" t="s">
        <v>96</v>
      </c>
      <c r="F74" s="24" t="s">
        <v>97</v>
      </c>
      <c r="G74" s="32" t="s">
        <v>141</v>
      </c>
      <c r="H74" s="33" t="s">
        <v>142</v>
      </c>
    </row>
    <row r="75" spans="1:11">
      <c r="A75" s="19" t="s">
        <v>98</v>
      </c>
      <c r="B75" s="20" t="s">
        <v>99</v>
      </c>
      <c r="C75" s="20" t="s">
        <v>74</v>
      </c>
      <c r="D75" s="20">
        <v>480</v>
      </c>
      <c r="E75" s="20">
        <v>40.17</v>
      </c>
      <c r="F75" s="21" t="s">
        <v>100</v>
      </c>
      <c r="H75" s="34">
        <f>E75*6</f>
        <v>241.02</v>
      </c>
    </row>
    <row r="76" spans="1:11">
      <c r="A76" s="19" t="s">
        <v>98</v>
      </c>
      <c r="B76" s="20" t="s">
        <v>99</v>
      </c>
      <c r="C76" s="20" t="s">
        <v>101</v>
      </c>
      <c r="D76" s="20">
        <v>480</v>
      </c>
      <c r="E76" s="20">
        <v>41.52</v>
      </c>
      <c r="F76" s="21" t="s">
        <v>102</v>
      </c>
      <c r="H76" s="34">
        <f t="shared" ref="H76:H78" si="10">E76*6</f>
        <v>249.12</v>
      </c>
    </row>
    <row r="77" spans="1:11">
      <c r="A77" s="19" t="s">
        <v>98</v>
      </c>
      <c r="B77" s="20" t="s">
        <v>99</v>
      </c>
      <c r="C77" s="20" t="s">
        <v>101</v>
      </c>
      <c r="D77" s="20">
        <v>1080</v>
      </c>
      <c r="E77" s="20">
        <v>121.8</v>
      </c>
      <c r="F77" s="21" t="s">
        <v>103</v>
      </c>
      <c r="H77" s="34">
        <f t="shared" si="10"/>
        <v>730.8</v>
      </c>
    </row>
    <row r="78" spans="1:11">
      <c r="A78" s="19" t="s">
        <v>104</v>
      </c>
      <c r="B78" s="20" t="s">
        <v>99</v>
      </c>
      <c r="C78" s="20" t="s">
        <v>101</v>
      </c>
      <c r="D78" s="20" t="s">
        <v>105</v>
      </c>
      <c r="E78" s="20">
        <v>164.89</v>
      </c>
      <c r="F78" s="21" t="s">
        <v>106</v>
      </c>
      <c r="H78" s="34">
        <f t="shared" si="10"/>
        <v>989.33999999999992</v>
      </c>
    </row>
    <row r="79" spans="1:11">
      <c r="A79" s="25"/>
      <c r="B79" s="26"/>
      <c r="C79" s="26"/>
      <c r="D79" s="26"/>
      <c r="E79" s="26"/>
      <c r="F79" s="27"/>
    </row>
    <row r="80" spans="1:11">
      <c r="A80" s="11" t="s">
        <v>597</v>
      </c>
      <c r="B80" s="17"/>
      <c r="C80" s="52"/>
      <c r="D80" s="17"/>
      <c r="E80" s="17"/>
      <c r="F80" s="17"/>
      <c r="G80" s="17"/>
      <c r="H80" s="17"/>
      <c r="I80" s="17"/>
      <c r="J80" s="17"/>
      <c r="K80" s="17"/>
    </row>
    <row r="81" spans="1:11">
      <c r="A81" t="s">
        <v>598</v>
      </c>
    </row>
    <row r="82" spans="1:11">
      <c r="A82" t="s">
        <v>599</v>
      </c>
    </row>
    <row r="83" spans="1:11">
      <c r="A83" s="10" t="s">
        <v>600</v>
      </c>
    </row>
    <row r="84" spans="1:11">
      <c r="A84" s="18"/>
    </row>
    <row r="85" spans="1:11">
      <c r="A85" s="11" t="s">
        <v>89</v>
      </c>
      <c r="B85" s="17"/>
      <c r="C85" s="52"/>
      <c r="D85" s="17"/>
      <c r="E85" s="17"/>
      <c r="F85" s="17"/>
      <c r="G85" s="17"/>
      <c r="H85" s="17"/>
      <c r="I85" s="17"/>
      <c r="J85" s="17"/>
      <c r="K85" s="17"/>
    </row>
    <row r="86" spans="1:11">
      <c r="A86" s="10" t="s">
        <v>80</v>
      </c>
    </row>
    <row r="87" spans="1:11">
      <c r="A87" s="10" t="s">
        <v>81</v>
      </c>
    </row>
    <row r="88" spans="1:11">
      <c r="A88" s="10" t="s">
        <v>82</v>
      </c>
    </row>
    <row r="89" spans="1:11">
      <c r="A89" s="9" t="s">
        <v>193</v>
      </c>
    </row>
    <row r="90" spans="1:11">
      <c r="A90" s="18" t="s">
        <v>157</v>
      </c>
    </row>
    <row r="92" spans="1:11">
      <c r="A92" s="11" t="s">
        <v>616</v>
      </c>
      <c r="B92" s="17"/>
      <c r="C92" s="52"/>
      <c r="D92" s="17"/>
      <c r="E92" s="17"/>
      <c r="F92" s="17"/>
      <c r="G92" s="17"/>
      <c r="H92" s="17"/>
      <c r="I92" s="17"/>
      <c r="J92" s="17"/>
      <c r="K92" s="17"/>
    </row>
    <row r="93" spans="1:11">
      <c r="A93" t="s">
        <v>615</v>
      </c>
    </row>
    <row r="94" spans="1:11">
      <c r="A94" s="10"/>
    </row>
    <row r="95" spans="1:11">
      <c r="A95" s="296" t="s">
        <v>91</v>
      </c>
      <c r="B95" s="296"/>
      <c r="C95" s="296"/>
      <c r="D95" s="296"/>
      <c r="E95" s="296"/>
      <c r="F95" s="296"/>
      <c r="G95" s="296"/>
      <c r="H95" s="296"/>
      <c r="I95" s="296"/>
      <c r="J95" s="296"/>
      <c r="K95" s="296"/>
    </row>
    <row r="96" spans="1:11">
      <c r="A96" s="18"/>
      <c r="B96"/>
      <c r="C96" s="51"/>
      <c r="D96"/>
      <c r="E96"/>
      <c r="F96"/>
    </row>
    <row r="97" spans="1:1">
      <c r="A97"/>
    </row>
    <row r="98" spans="1:1">
      <c r="A98"/>
    </row>
  </sheetData>
  <sortState ref="A5:Y20">
    <sortCondition ref="A5:A20"/>
  </sortState>
  <mergeCells count="1">
    <mergeCell ref="A95:K9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workbookViewId="0">
      <selection activeCell="A25" sqref="A25"/>
    </sheetView>
  </sheetViews>
  <sheetFormatPr baseColWidth="10" defaultRowHeight="14.5"/>
  <cols>
    <col min="1" max="1" width="44" customWidth="1"/>
    <col min="2" max="5" width="22" customWidth="1"/>
    <col min="6" max="6" width="29" customWidth="1"/>
  </cols>
  <sheetData>
    <row r="1" spans="1:10" s="7" customFormat="1">
      <c r="A1" s="16" t="s">
        <v>603</v>
      </c>
      <c r="B1" s="17"/>
      <c r="C1" s="52"/>
      <c r="D1" s="17"/>
      <c r="E1" s="17"/>
      <c r="F1" s="17"/>
      <c r="G1" s="17"/>
      <c r="H1" s="17"/>
      <c r="I1" s="17"/>
      <c r="J1" s="17"/>
    </row>
    <row r="2" spans="1:10" s="7" customFormat="1">
      <c r="A2"/>
      <c r="C2" s="39"/>
    </row>
    <row r="3" spans="1:10" s="7" customFormat="1">
      <c r="A3" s="39" t="s">
        <v>619</v>
      </c>
      <c r="C3" s="39"/>
    </row>
    <row r="4" spans="1:10" ht="15" thickBot="1">
      <c r="C4" s="194">
        <f>B7/C7</f>
        <v>23.333333333333332</v>
      </c>
      <c r="E4" s="194">
        <f>D7/E7</f>
        <v>23.333333333333332</v>
      </c>
    </row>
    <row r="5" spans="1:10">
      <c r="B5" s="300" t="s">
        <v>60</v>
      </c>
      <c r="C5" s="301"/>
      <c r="D5" s="301"/>
      <c r="E5" s="302"/>
      <c r="F5" s="195"/>
      <c r="G5" t="s">
        <v>655</v>
      </c>
      <c r="H5" t="s">
        <v>652</v>
      </c>
      <c r="I5" t="s">
        <v>653</v>
      </c>
      <c r="J5" t="s">
        <v>654</v>
      </c>
    </row>
    <row r="6" spans="1:10" ht="32.5">
      <c r="B6" s="183" t="s">
        <v>626</v>
      </c>
      <c r="C6" s="184" t="s">
        <v>622</v>
      </c>
      <c r="D6" s="165" t="s">
        <v>623</v>
      </c>
      <c r="E6" s="181" t="s">
        <v>627</v>
      </c>
      <c r="F6" s="195" t="s">
        <v>656</v>
      </c>
      <c r="G6" s="194">
        <f>C10</f>
        <v>7800000</v>
      </c>
      <c r="H6" s="194">
        <f>E10</f>
        <v>21369.863013698628</v>
      </c>
      <c r="I6" s="194">
        <f>H6/17</f>
        <v>1257.0507655116839</v>
      </c>
      <c r="J6" s="194">
        <f>I6/60</f>
        <v>20.950846091861401</v>
      </c>
    </row>
    <row r="7" spans="1:10">
      <c r="B7" s="183">
        <v>14000</v>
      </c>
      <c r="C7" s="184">
        <v>600</v>
      </c>
      <c r="D7" s="167">
        <f>B7/365</f>
        <v>38.356164383561641</v>
      </c>
      <c r="E7" s="182">
        <f>C7/365</f>
        <v>1.6438356164383561</v>
      </c>
      <c r="F7" s="195" t="s">
        <v>640</v>
      </c>
      <c r="I7">
        <f>C15/2</f>
        <v>119</v>
      </c>
    </row>
    <row r="8" spans="1:10">
      <c r="B8" s="297" t="s">
        <v>611</v>
      </c>
      <c r="C8" s="298"/>
      <c r="D8" s="298"/>
      <c r="E8" s="299"/>
      <c r="F8" s="195"/>
    </row>
    <row r="9" spans="1:10" ht="21.5">
      <c r="B9" s="164" t="s">
        <v>625</v>
      </c>
      <c r="C9" s="165" t="s">
        <v>620</v>
      </c>
      <c r="D9" s="165" t="s">
        <v>624</v>
      </c>
      <c r="E9" s="166" t="s">
        <v>621</v>
      </c>
      <c r="F9" s="195"/>
    </row>
    <row r="10" spans="1:10" ht="15" thickBot="1">
      <c r="B10" s="169">
        <v>23400000</v>
      </c>
      <c r="C10" s="170">
        <v>7800000</v>
      </c>
      <c r="D10" s="170">
        <f>B10/365</f>
        <v>64109.589041095889</v>
      </c>
      <c r="E10" s="171">
        <f>C10/365</f>
        <v>21369.863013698628</v>
      </c>
    </row>
    <row r="11" spans="1:10">
      <c r="C11">
        <f>B10/C10</f>
        <v>3</v>
      </c>
      <c r="E11">
        <f>D10/E10</f>
        <v>3</v>
      </c>
    </row>
    <row r="12" spans="1:10">
      <c r="A12" s="176" t="s">
        <v>635</v>
      </c>
      <c r="B12" s="173"/>
      <c r="C12" s="173"/>
      <c r="D12" s="173"/>
      <c r="E12" s="173"/>
      <c r="F12" s="173"/>
    </row>
    <row r="13" spans="1:10">
      <c r="A13" s="173" t="s">
        <v>628</v>
      </c>
      <c r="B13" s="173"/>
      <c r="C13" s="173"/>
      <c r="D13" s="173"/>
      <c r="E13" s="173"/>
      <c r="F13" s="173"/>
    </row>
    <row r="14" spans="1:10">
      <c r="A14" s="173"/>
      <c r="B14" s="174" t="s">
        <v>60</v>
      </c>
      <c r="C14" s="174" t="s">
        <v>611</v>
      </c>
      <c r="D14" s="173"/>
      <c r="E14" s="173"/>
      <c r="F14" s="173"/>
    </row>
    <row r="15" spans="1:10">
      <c r="A15" s="173" t="s">
        <v>629</v>
      </c>
      <c r="B15" s="174">
        <f>2*0.113</f>
        <v>0.22600000000000001</v>
      </c>
      <c r="C15" s="174">
        <f>2*119</f>
        <v>238</v>
      </c>
      <c r="D15" s="173" t="s">
        <v>636</v>
      </c>
      <c r="E15" s="173"/>
      <c r="F15" s="173"/>
    </row>
    <row r="16" spans="1:10">
      <c r="A16" s="173" t="s">
        <v>637</v>
      </c>
      <c r="B16" s="175">
        <f>4*D7</f>
        <v>153.42465753424656</v>
      </c>
      <c r="C16" s="175">
        <f>4*D10</f>
        <v>256438.35616438356</v>
      </c>
      <c r="D16" s="173" t="s">
        <v>630</v>
      </c>
      <c r="E16" s="173"/>
      <c r="F16" s="173"/>
    </row>
    <row r="17" spans="1:6">
      <c r="A17" s="173" t="s">
        <v>638</v>
      </c>
      <c r="B17" s="175">
        <f>4*E7</f>
        <v>6.5753424657534243</v>
      </c>
      <c r="C17" s="175">
        <f>4*E10</f>
        <v>85479.452054794514</v>
      </c>
      <c r="D17" s="173" t="s">
        <v>630</v>
      </c>
      <c r="E17" s="173"/>
      <c r="F17" s="173"/>
    </row>
    <row r="18" spans="1:6">
      <c r="A18" s="177" t="s">
        <v>631</v>
      </c>
      <c r="B18" s="178">
        <f>B$15/B16</f>
        <v>1.4730357142857145E-3</v>
      </c>
      <c r="C18" s="178">
        <f>C$15/C16</f>
        <v>9.2809829059829058E-4</v>
      </c>
      <c r="D18" s="179" t="s">
        <v>632</v>
      </c>
      <c r="E18" s="173"/>
      <c r="F18" s="173"/>
    </row>
    <row r="19" spans="1:6">
      <c r="A19" s="177" t="s">
        <v>631</v>
      </c>
      <c r="B19" s="180">
        <f>B$15/B17</f>
        <v>3.4370833333333337E-2</v>
      </c>
      <c r="C19" s="178">
        <f>C$15/C17</f>
        <v>2.7842948717948721E-3</v>
      </c>
      <c r="D19" s="179" t="s">
        <v>633</v>
      </c>
      <c r="E19" s="173"/>
      <c r="F19" s="173"/>
    </row>
    <row r="20" spans="1:6">
      <c r="A20" s="173"/>
      <c r="B20" s="175"/>
      <c r="C20" s="175"/>
      <c r="D20" s="173"/>
      <c r="E20" s="173"/>
      <c r="F20" s="173"/>
    </row>
    <row r="21" spans="1:6">
      <c r="A21" s="173" t="s">
        <v>634</v>
      </c>
      <c r="B21" s="175"/>
      <c r="C21" s="175"/>
      <c r="D21" s="173"/>
      <c r="E21" s="173"/>
      <c r="F21" s="173"/>
    </row>
    <row r="22" spans="1:6" s="172" customFormat="1" ht="32" customHeight="1">
      <c r="A22" s="303" t="s">
        <v>639</v>
      </c>
      <c r="B22" s="303"/>
      <c r="C22" s="303"/>
      <c r="D22" s="303"/>
      <c r="E22" s="303"/>
      <c r="F22" s="303"/>
    </row>
    <row r="24" spans="1:6">
      <c r="A24" s="163" t="s">
        <v>89</v>
      </c>
    </row>
    <row r="25" spans="1:6">
      <c r="A25" s="168" t="s">
        <v>617</v>
      </c>
    </row>
    <row r="26" spans="1:6">
      <c r="A26" s="168" t="s">
        <v>618</v>
      </c>
    </row>
    <row r="28" spans="1:6">
      <c r="A28" s="163" t="s">
        <v>604</v>
      </c>
    </row>
    <row r="29" spans="1:6">
      <c r="A29" t="s">
        <v>605</v>
      </c>
    </row>
    <row r="30" spans="1:6">
      <c r="A30" t="s">
        <v>606</v>
      </c>
    </row>
    <row r="32" spans="1:6">
      <c r="A32" s="163" t="s">
        <v>607</v>
      </c>
    </row>
    <row r="33" spans="1:1">
      <c r="A33" t="s">
        <v>608</v>
      </c>
    </row>
    <row r="34" spans="1:1">
      <c r="A34" t="s">
        <v>609</v>
      </c>
    </row>
    <row r="35" spans="1:1">
      <c r="A35" t="s">
        <v>610</v>
      </c>
    </row>
  </sheetData>
  <mergeCells count="3">
    <mergeCell ref="B8:E8"/>
    <mergeCell ref="B5:E5"/>
    <mergeCell ref="A22:F22"/>
  </mergeCells>
  <hyperlinks>
    <hyperlink ref="A25" r:id="rId1" display="https://www.bafu.admin.ch/bafu/fr/home/themes/economie-consommation/publications-etudes/publications/empreintes-environnementales-de-la-suisse.html"/>
    <hyperlink ref="A26" r:id="rId2" display="https://www.bfs.admin.ch/bfs/fr/home/statistiques/developpement-durable/autres-indicateurs-developpement-durable/empreinte-ecologique.html"/>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A1405D081049D4CB0297D8A4A6D278F" ma:contentTypeVersion="11" ma:contentTypeDescription="Ein neues Dokument erstellen." ma:contentTypeScope="" ma:versionID="6c726e65c40ba645d25564e1723e4426">
  <xsd:schema xmlns:xsd="http://www.w3.org/2001/XMLSchema" xmlns:xs="http://www.w3.org/2001/XMLSchema" xmlns:p="http://schemas.microsoft.com/office/2006/metadata/properties" xmlns:ns3="014e22de-cb5b-4929-8dc2-e58037ecad44" xmlns:ns4="ecb3b9e9-1eab-40cf-9f53-7744611379ea" targetNamespace="http://schemas.microsoft.com/office/2006/metadata/properties" ma:root="true" ma:fieldsID="d444745ded6429a19df6ba3ac664b93b" ns3:_="" ns4:_="">
    <xsd:import namespace="014e22de-cb5b-4929-8dc2-e58037ecad44"/>
    <xsd:import namespace="ecb3b9e9-1eab-40cf-9f53-7744611379e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4e22de-cb5b-4929-8dc2-e58037ecad4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b3b9e9-1eab-40cf-9f53-7744611379ea" elementFormDefault="qualified">
    <xsd:import namespace="http://schemas.microsoft.com/office/2006/documentManagement/types"/>
    <xsd:import namespace="http://schemas.microsoft.com/office/infopath/2007/PartnerControls"/>
    <xsd:element name="SharedWithUsers" ma:index="1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description="" ma:internalName="SharedWithDetails" ma:readOnly="true">
      <xsd:simpleType>
        <xsd:restriction base="dms:Note">
          <xsd:maxLength value="255"/>
        </xsd:restriction>
      </xsd:simpleType>
    </xsd:element>
    <xsd:element name="SharingHintHash" ma:index="12" nillable="true" ma:displayName="Freigabehinweis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B7F7DA-D3DB-42CD-B16F-EE15673398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4e22de-cb5b-4929-8dc2-e58037ecad44"/>
    <ds:schemaRef ds:uri="ecb3b9e9-1eab-40cf-9f53-774461137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195731-82B4-44B4-A1F6-B23721E7532E}">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ecb3b9e9-1eab-40cf-9f53-7744611379ea"/>
    <ds:schemaRef ds:uri="014e22de-cb5b-4929-8dc2-e58037ecad44"/>
    <ds:schemaRef ds:uri="http://www.w3.org/XML/1998/namespace"/>
    <ds:schemaRef ds:uri="http://purl.org/dc/dcmitype/"/>
  </ds:schemaRefs>
</ds:datastoreItem>
</file>

<file path=customXml/itemProps3.xml><?xml version="1.0" encoding="utf-8"?>
<ds:datastoreItem xmlns:ds="http://schemas.openxmlformats.org/officeDocument/2006/customXml" ds:itemID="{4402462D-9D80-4B45-96BB-B33C6A66E6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Introduction</vt:lpstr>
      <vt:lpstr>Liste et comparaison écogestes</vt:lpstr>
      <vt:lpstr>Actions robustes - V. PUBLIABLE</vt:lpstr>
      <vt:lpstr>Actions non comparables - V. PU</vt:lpstr>
      <vt:lpstr>Actions robustes</vt:lpstr>
      <vt:lpstr>Actions non comparables</vt:lpstr>
      <vt:lpstr>Sous-datasets et Notes</vt:lpstr>
      <vt:lpstr>Limites pour etre durable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Von Wyss, Bastien (RTS)</dc:creator>
  <cp:keywords/>
  <dc:description/>
  <cp:lastModifiedBy>Gäggeler Kaspar BAFU</cp:lastModifiedBy>
  <cp:revision/>
  <dcterms:created xsi:type="dcterms:W3CDTF">2019-10-25T12:44:18Z</dcterms:created>
  <dcterms:modified xsi:type="dcterms:W3CDTF">2020-04-30T23:55:50Z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0x010100EA1405D081049D4CB0297D8A4A6D278F</vt:lpwstr>
  </property>
</Properties>
</file>